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Faculty\"/>
    </mc:Choice>
  </mc:AlternateContent>
  <xr:revisionPtr revIDLastSave="0" documentId="13_ncr:1_{7BBD56BC-2A00-4B94-A6CF-0A168AADB3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t_faculty_rank_gender_tenure" sheetId="1" r:id="rId1"/>
  </sheets>
  <definedNames>
    <definedName name="HTML_CodePage" hidden="1">1252</definedName>
    <definedName name="HTML_Control" hidden="1">{"'ft_faculty_rank_gender_tenure'!$B$6:$AK$44"}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Documents\FrontPage\ft_faculty_rank_gender_tenure.htm"</definedName>
    <definedName name="HTML_Title" hidden="1">""</definedName>
    <definedName name="_xlnm.Print_Area" localSheetId="0">ft_faculty_rank_gender_tenure!$A$1:$DJ$46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42" i="1" l="1"/>
  <c r="DF41" i="1"/>
  <c r="DF40" i="1"/>
  <c r="DE42" i="1"/>
  <c r="DB42" i="1"/>
  <c r="DE41" i="1"/>
  <c r="DE40" i="1"/>
  <c r="DC42" i="1"/>
  <c r="DC41" i="1"/>
  <c r="DC40" i="1"/>
  <c r="DB41" i="1"/>
  <c r="DB40" i="1"/>
  <c r="DI27" i="1"/>
  <c r="CZ41" i="1"/>
  <c r="CY41" i="1"/>
  <c r="CZ40" i="1"/>
  <c r="CZ42" i="1" s="1"/>
  <c r="CY40" i="1"/>
  <c r="CY42" i="1" s="1"/>
  <c r="CY37" i="1"/>
  <c r="CY32" i="1"/>
  <c r="CZ27" i="1"/>
  <c r="CY27" i="1"/>
  <c r="CY22" i="1"/>
  <c r="CW41" i="1"/>
  <c r="CV41" i="1"/>
  <c r="CW40" i="1"/>
  <c r="CV40" i="1"/>
  <c r="CV37" i="1"/>
  <c r="CV32" i="1"/>
  <c r="CW27" i="1"/>
  <c r="CV27" i="1"/>
  <c r="CV22" i="1"/>
  <c r="CV42" i="1" l="1"/>
  <c r="CW42" i="1"/>
  <c r="CT41" i="1"/>
  <c r="CS41" i="1"/>
  <c r="CT40" i="1"/>
  <c r="CS40" i="1"/>
  <c r="CS42" i="1" s="1"/>
  <c r="CS37" i="1"/>
  <c r="CS32" i="1"/>
  <c r="CT27" i="1"/>
  <c r="CS27" i="1"/>
  <c r="CS22" i="1"/>
  <c r="CT42" i="1" l="1"/>
  <c r="CQ41" i="1"/>
  <c r="CP41" i="1"/>
  <c r="CQ40" i="1"/>
  <c r="CP40" i="1"/>
  <c r="CP42" i="1" s="1"/>
  <c r="CQ37" i="1"/>
  <c r="CP37" i="1"/>
  <c r="CQ32" i="1"/>
  <c r="CP32" i="1"/>
  <c r="CQ27" i="1"/>
  <c r="CP27" i="1"/>
  <c r="CQ22" i="1"/>
  <c r="CP22" i="1"/>
  <c r="CQ17" i="1"/>
  <c r="CP17" i="1"/>
  <c r="CQ12" i="1"/>
  <c r="CP12" i="1"/>
  <c r="CQ42" i="1" l="1"/>
  <c r="CN41" i="1"/>
  <c r="CM41" i="1"/>
  <c r="CN40" i="1"/>
  <c r="CN42" i="1" s="1"/>
  <c r="CM40" i="1"/>
  <c r="CM42" i="1" s="1"/>
  <c r="CN37" i="1"/>
  <c r="CM37" i="1"/>
  <c r="CN32" i="1"/>
  <c r="CM32" i="1"/>
  <c r="CN27" i="1"/>
  <c r="CM27" i="1"/>
  <c r="CN22" i="1"/>
  <c r="CM22" i="1"/>
  <c r="CN17" i="1"/>
  <c r="CM17" i="1"/>
  <c r="CN12" i="1"/>
  <c r="CM12" i="1"/>
  <c r="CK41" i="1" l="1"/>
  <c r="CJ41" i="1"/>
  <c r="CK40" i="1"/>
  <c r="CJ40" i="1"/>
  <c r="CK37" i="1"/>
  <c r="CJ37" i="1"/>
  <c r="CK32" i="1"/>
  <c r="CJ32" i="1"/>
  <c r="CK27" i="1"/>
  <c r="CJ27" i="1"/>
  <c r="CK22" i="1"/>
  <c r="CJ22" i="1"/>
  <c r="CK17" i="1"/>
  <c r="CJ17" i="1"/>
  <c r="CK12" i="1"/>
  <c r="CJ12" i="1"/>
  <c r="CJ42" i="1" l="1"/>
  <c r="CK42" i="1"/>
  <c r="CH41" i="1"/>
  <c r="CG41" i="1"/>
  <c r="CH40" i="1"/>
  <c r="CG40" i="1"/>
  <c r="CG42" i="1" s="1"/>
  <c r="CH37" i="1"/>
  <c r="CG37" i="1"/>
  <c r="CH32" i="1"/>
  <c r="CG32" i="1"/>
  <c r="CH27" i="1"/>
  <c r="CG27" i="1"/>
  <c r="CH22" i="1"/>
  <c r="CG22" i="1"/>
  <c r="CH17" i="1"/>
  <c r="CG17" i="1"/>
  <c r="CH12" i="1"/>
  <c r="CG12" i="1"/>
  <c r="CH42" i="1" l="1"/>
  <c r="CE41" i="1"/>
  <c r="CD41" i="1"/>
  <c r="CE40" i="1"/>
  <c r="CD40" i="1"/>
  <c r="CE37" i="1"/>
  <c r="CD37" i="1"/>
  <c r="CE32" i="1"/>
  <c r="CD32" i="1"/>
  <c r="CE27" i="1"/>
  <c r="CD27" i="1"/>
  <c r="CE22" i="1"/>
  <c r="CD22" i="1"/>
  <c r="CE17" i="1"/>
  <c r="CD17" i="1"/>
  <c r="CE12" i="1"/>
  <c r="CD12" i="1"/>
  <c r="CE42" i="1" l="1"/>
  <c r="CD42" i="1"/>
  <c r="DI41" i="1"/>
  <c r="DH41" i="1"/>
  <c r="DH40" i="1"/>
  <c r="DH37" i="1"/>
  <c r="DH32" i="1"/>
  <c r="DH27" i="1"/>
  <c r="DH22" i="1"/>
  <c r="DI40" i="1"/>
  <c r="DH42" i="1" l="1"/>
  <c r="DI42" i="1"/>
  <c r="BX41" i="1" l="1"/>
  <c r="BX40" i="1"/>
  <c r="BX42" i="1" s="1"/>
  <c r="BX37" i="1"/>
  <c r="BY36" i="1"/>
  <c r="BY35" i="1"/>
  <c r="BY37" i="1" s="1"/>
  <c r="BY32" i="1"/>
  <c r="BX32" i="1"/>
  <c r="BY27" i="1"/>
  <c r="BX27" i="1"/>
  <c r="BX22" i="1"/>
  <c r="BY21" i="1"/>
  <c r="BY20" i="1"/>
  <c r="BY22" i="1" s="1"/>
  <c r="BX17" i="1"/>
  <c r="BY16" i="1"/>
  <c r="BY15" i="1"/>
  <c r="BX12" i="1"/>
  <c r="BY11" i="1"/>
  <c r="BY10" i="1"/>
  <c r="BY12" i="1" s="1"/>
  <c r="BY17" i="1" l="1"/>
  <c r="BY41" i="1"/>
  <c r="BY40" i="1"/>
  <c r="BV10" i="1"/>
  <c r="CB20" i="1"/>
  <c r="CB22" i="1" s="1"/>
  <c r="BU41" i="1"/>
  <c r="BU40" i="1"/>
  <c r="BU37" i="1"/>
  <c r="BV36" i="1"/>
  <c r="BV37" i="1" s="1"/>
  <c r="BU32" i="1"/>
  <c r="BV31" i="1"/>
  <c r="BV32" i="1"/>
  <c r="BV27" i="1"/>
  <c r="BU27" i="1"/>
  <c r="BU22" i="1"/>
  <c r="BV20" i="1"/>
  <c r="BV22" i="1" s="1"/>
  <c r="BU17" i="1"/>
  <c r="BV16" i="1"/>
  <c r="BV15" i="1"/>
  <c r="BV17" i="1" s="1"/>
  <c r="BU12" i="1"/>
  <c r="BV11" i="1"/>
  <c r="BV12" i="1" s="1"/>
  <c r="CB40" i="1"/>
  <c r="CB41" i="1"/>
  <c r="BR41" i="1"/>
  <c r="BR40" i="1"/>
  <c r="BS37" i="1"/>
  <c r="BR37" i="1"/>
  <c r="BR32" i="1"/>
  <c r="BS31" i="1"/>
  <c r="BS30" i="1"/>
  <c r="BS27" i="1"/>
  <c r="BR27" i="1"/>
  <c r="BR22" i="1"/>
  <c r="BS21" i="1"/>
  <c r="BS20" i="1"/>
  <c r="BS22" i="1" s="1"/>
  <c r="BR17" i="1"/>
  <c r="BS16" i="1"/>
  <c r="BS15" i="1"/>
  <c r="BS17" i="1" s="1"/>
  <c r="BR12" i="1"/>
  <c r="BS11" i="1"/>
  <c r="BS10" i="1"/>
  <c r="BO41" i="1"/>
  <c r="BO40" i="1"/>
  <c r="BO42" i="1"/>
  <c r="BP37" i="1"/>
  <c r="BO37" i="1"/>
  <c r="BO32" i="1"/>
  <c r="BP31" i="1"/>
  <c r="BP30" i="1"/>
  <c r="BP27" i="1"/>
  <c r="BO27" i="1"/>
  <c r="BO22" i="1"/>
  <c r="BP21" i="1"/>
  <c r="BP20" i="1"/>
  <c r="BP22" i="1" s="1"/>
  <c r="BO17" i="1"/>
  <c r="BP16" i="1"/>
  <c r="BP15" i="1"/>
  <c r="BO12" i="1"/>
  <c r="BP11" i="1"/>
  <c r="BP10" i="1"/>
  <c r="BP12" i="1" s="1"/>
  <c r="BL41" i="1"/>
  <c r="BL40" i="1"/>
  <c r="BM37" i="1"/>
  <c r="BL37" i="1"/>
  <c r="BL32" i="1"/>
  <c r="BM31" i="1"/>
  <c r="BM30" i="1"/>
  <c r="BM32" i="1" s="1"/>
  <c r="BM27" i="1"/>
  <c r="BL27" i="1"/>
  <c r="BL22" i="1"/>
  <c r="BM21" i="1"/>
  <c r="BM20" i="1"/>
  <c r="BL17" i="1"/>
  <c r="BM16" i="1"/>
  <c r="BM15" i="1"/>
  <c r="BM17" i="1" s="1"/>
  <c r="BL12" i="1"/>
  <c r="BM11" i="1"/>
  <c r="BM10" i="1"/>
  <c r="BM12" i="1" s="1"/>
  <c r="BI41" i="1"/>
  <c r="BI40" i="1"/>
  <c r="BJ37" i="1"/>
  <c r="BI37" i="1"/>
  <c r="BI32" i="1"/>
  <c r="BJ31" i="1"/>
  <c r="BJ30" i="1"/>
  <c r="BJ27" i="1"/>
  <c r="BI27" i="1"/>
  <c r="BI22" i="1"/>
  <c r="BJ21" i="1"/>
  <c r="BJ20" i="1"/>
  <c r="BJ22" i="1" s="1"/>
  <c r="BI17" i="1"/>
  <c r="BJ16" i="1"/>
  <c r="BJ15" i="1"/>
  <c r="BJ17" i="1" s="1"/>
  <c r="BI12" i="1"/>
  <c r="BJ11" i="1"/>
  <c r="BJ10" i="1"/>
  <c r="BG10" i="1"/>
  <c r="BG15" i="1"/>
  <c r="BG20" i="1"/>
  <c r="BG35" i="1"/>
  <c r="BG37" i="1" s="1"/>
  <c r="BG11" i="1"/>
  <c r="BG16" i="1"/>
  <c r="BG21" i="1"/>
  <c r="BF40" i="1"/>
  <c r="BF41" i="1"/>
  <c r="BF37" i="1"/>
  <c r="BG32" i="1"/>
  <c r="BF32" i="1"/>
  <c r="BG27" i="1"/>
  <c r="BF27" i="1"/>
  <c r="BF22" i="1"/>
  <c r="BF17" i="1"/>
  <c r="BF12" i="1"/>
  <c r="BD10" i="1"/>
  <c r="BD15" i="1"/>
  <c r="BD17" i="1" s="1"/>
  <c r="BD20" i="1"/>
  <c r="BD25" i="1"/>
  <c r="BD30" i="1"/>
  <c r="BD35" i="1"/>
  <c r="BD11" i="1"/>
  <c r="BD16" i="1"/>
  <c r="BD21" i="1"/>
  <c r="BD26" i="1"/>
  <c r="BD31" i="1"/>
  <c r="BD36" i="1"/>
  <c r="BC40" i="1"/>
  <c r="BC41" i="1"/>
  <c r="BC37" i="1"/>
  <c r="BC32" i="1"/>
  <c r="BC27" i="1"/>
  <c r="BC22" i="1"/>
  <c r="BC17" i="1"/>
  <c r="BC12" i="1"/>
  <c r="BA10" i="1"/>
  <c r="BA12" i="1" s="1"/>
  <c r="BA15" i="1"/>
  <c r="BA20" i="1"/>
  <c r="BA25" i="1"/>
  <c r="BA30" i="1"/>
  <c r="BA35" i="1"/>
  <c r="BA37" i="1" s="1"/>
  <c r="BA11" i="1"/>
  <c r="BA16" i="1"/>
  <c r="BA21" i="1"/>
  <c r="BA26" i="1"/>
  <c r="BA31" i="1"/>
  <c r="BA36" i="1"/>
  <c r="AZ40" i="1"/>
  <c r="AZ41" i="1"/>
  <c r="AZ37" i="1"/>
  <c r="AZ32" i="1"/>
  <c r="AZ27" i="1"/>
  <c r="AZ22" i="1"/>
  <c r="AZ17" i="1"/>
  <c r="AZ12" i="1"/>
  <c r="CA40" i="1"/>
  <c r="CA41" i="1"/>
  <c r="CA42" i="1" s="1"/>
  <c r="AX10" i="1"/>
  <c r="AX15" i="1"/>
  <c r="AX20" i="1"/>
  <c r="AX22" i="1" s="1"/>
  <c r="AX25" i="1"/>
  <c r="AX30" i="1"/>
  <c r="AX35" i="1"/>
  <c r="AX11" i="1"/>
  <c r="AX16" i="1"/>
  <c r="AX21" i="1"/>
  <c r="AX26" i="1"/>
  <c r="AX31" i="1"/>
  <c r="AX36" i="1"/>
  <c r="AW40" i="1"/>
  <c r="AW41" i="1"/>
  <c r="AW37" i="1"/>
  <c r="AW32" i="1"/>
  <c r="AW27" i="1"/>
  <c r="AW22" i="1"/>
  <c r="AW17" i="1"/>
  <c r="AW12" i="1"/>
  <c r="AU10" i="1"/>
  <c r="AU15" i="1"/>
  <c r="AU20" i="1"/>
  <c r="AU11" i="1"/>
  <c r="AU16" i="1"/>
  <c r="AU21" i="1"/>
  <c r="AT40" i="1"/>
  <c r="AT41" i="1"/>
  <c r="AU37" i="1"/>
  <c r="AT37" i="1"/>
  <c r="AU32" i="1"/>
  <c r="AT32" i="1"/>
  <c r="AU27" i="1"/>
  <c r="AT27" i="1"/>
  <c r="AT22" i="1"/>
  <c r="AT17" i="1"/>
  <c r="AT12" i="1"/>
  <c r="AR10" i="1"/>
  <c r="AR15" i="1"/>
  <c r="AR20" i="1"/>
  <c r="AR22" i="1" s="1"/>
  <c r="AR25" i="1"/>
  <c r="AR30" i="1"/>
  <c r="AR35" i="1"/>
  <c r="AR11" i="1"/>
  <c r="AR16" i="1"/>
  <c r="AR21" i="1"/>
  <c r="AR26" i="1"/>
  <c r="AR31" i="1"/>
  <c r="AR36" i="1"/>
  <c r="AQ40" i="1"/>
  <c r="AQ41" i="1"/>
  <c r="AQ42" i="1" s="1"/>
  <c r="AQ37" i="1"/>
  <c r="AQ32" i="1"/>
  <c r="AQ27" i="1"/>
  <c r="AQ22" i="1"/>
  <c r="AQ17" i="1"/>
  <c r="AQ12" i="1"/>
  <c r="CB37" i="1"/>
  <c r="CA37" i="1"/>
  <c r="CB32" i="1"/>
  <c r="CA32" i="1"/>
  <c r="CB27" i="1"/>
  <c r="CA27" i="1"/>
  <c r="CA22" i="1"/>
  <c r="CB17" i="1"/>
  <c r="CA17" i="1"/>
  <c r="CB12" i="1"/>
  <c r="CA12" i="1"/>
  <c r="AO36" i="1"/>
  <c r="AO35" i="1"/>
  <c r="AO31" i="1"/>
  <c r="AO30" i="1"/>
  <c r="AO32" i="1" s="1"/>
  <c r="AO26" i="1"/>
  <c r="AO25" i="1"/>
  <c r="AO21" i="1"/>
  <c r="AO20" i="1"/>
  <c r="AO16" i="1"/>
  <c r="AO15" i="1"/>
  <c r="AO11" i="1"/>
  <c r="AO10" i="1"/>
  <c r="AO12" i="1" s="1"/>
  <c r="AL10" i="1"/>
  <c r="AL12" i="1" s="1"/>
  <c r="AL15" i="1"/>
  <c r="AL20" i="1"/>
  <c r="AL25" i="1"/>
  <c r="AL30" i="1"/>
  <c r="AL35" i="1"/>
  <c r="AL11" i="1"/>
  <c r="AL16" i="1"/>
  <c r="AL21" i="1"/>
  <c r="AL26" i="1"/>
  <c r="AL31" i="1"/>
  <c r="AL36" i="1"/>
  <c r="AK40" i="1"/>
  <c r="AK41" i="1"/>
  <c r="AK37" i="1"/>
  <c r="AK32" i="1"/>
  <c r="AK27" i="1"/>
  <c r="AK22" i="1"/>
  <c r="AK17" i="1"/>
  <c r="AK12" i="1"/>
  <c r="AI36" i="1"/>
  <c r="AI35" i="1"/>
  <c r="AI31" i="1"/>
  <c r="AI30" i="1"/>
  <c r="AI26" i="1"/>
  <c r="AI25" i="1"/>
  <c r="AI27" i="1" s="1"/>
  <c r="AI21" i="1"/>
  <c r="AI20" i="1"/>
  <c r="AI22" i="1" s="1"/>
  <c r="AI16" i="1"/>
  <c r="AI15" i="1"/>
  <c r="AI10" i="1"/>
  <c r="AI11" i="1"/>
  <c r="AF36" i="1"/>
  <c r="AF35" i="1"/>
  <c r="AF37" i="1" s="1"/>
  <c r="AF31" i="1"/>
  <c r="AF30" i="1"/>
  <c r="AF26" i="1"/>
  <c r="AF25" i="1"/>
  <c r="AF21" i="1"/>
  <c r="AF20" i="1"/>
  <c r="AF16" i="1"/>
  <c r="AF15" i="1"/>
  <c r="AF11" i="1"/>
  <c r="AF10" i="1"/>
  <c r="AC36" i="1"/>
  <c r="AC35" i="1"/>
  <c r="AC31" i="1"/>
  <c r="AC30" i="1"/>
  <c r="AC26" i="1"/>
  <c r="AC25" i="1"/>
  <c r="AC21" i="1"/>
  <c r="AC20" i="1"/>
  <c r="AC16" i="1"/>
  <c r="AC15" i="1"/>
  <c r="AC11" i="1"/>
  <c r="AC10" i="1"/>
  <c r="Z20" i="1"/>
  <c r="Z22" i="1" s="1"/>
  <c r="Z36" i="1"/>
  <c r="Z35" i="1"/>
  <c r="Z31" i="1"/>
  <c r="Z30" i="1"/>
  <c r="Z26" i="1"/>
  <c r="Z25" i="1"/>
  <c r="Z21" i="1"/>
  <c r="Z16" i="1"/>
  <c r="Z15" i="1"/>
  <c r="Z11" i="1"/>
  <c r="Z10" i="1"/>
  <c r="W36" i="1"/>
  <c r="W35" i="1"/>
  <c r="W31" i="1"/>
  <c r="W30" i="1"/>
  <c r="W32" i="1"/>
  <c r="W26" i="1"/>
  <c r="W25" i="1"/>
  <c r="W27" i="1" s="1"/>
  <c r="W21" i="1"/>
  <c r="W20" i="1"/>
  <c r="W16" i="1"/>
  <c r="W15" i="1"/>
  <c r="W11" i="1"/>
  <c r="W10" i="1"/>
  <c r="AN40" i="1"/>
  <c r="AN41" i="1"/>
  <c r="AH40" i="1"/>
  <c r="AH41" i="1"/>
  <c r="AE40" i="1"/>
  <c r="AE41" i="1"/>
  <c r="AB40" i="1"/>
  <c r="AB41" i="1"/>
  <c r="Y40" i="1"/>
  <c r="Y41" i="1"/>
  <c r="T40" i="1"/>
  <c r="T41" i="1"/>
  <c r="S40" i="1"/>
  <c r="S41" i="1"/>
  <c r="V41" i="1"/>
  <c r="V40" i="1"/>
  <c r="AN37" i="1"/>
  <c r="AH37" i="1"/>
  <c r="AE37" i="1"/>
  <c r="AB37" i="1"/>
  <c r="Y37" i="1"/>
  <c r="V37" i="1"/>
  <c r="AN32" i="1"/>
  <c r="AH32" i="1"/>
  <c r="AE32" i="1"/>
  <c r="AB32" i="1"/>
  <c r="Y32" i="1"/>
  <c r="V32" i="1"/>
  <c r="AN27" i="1"/>
  <c r="AH27" i="1"/>
  <c r="AE27" i="1"/>
  <c r="AB27" i="1"/>
  <c r="Y27" i="1"/>
  <c r="V27" i="1"/>
  <c r="AN22" i="1"/>
  <c r="AH22" i="1"/>
  <c r="AE22" i="1"/>
  <c r="AB22" i="1"/>
  <c r="Y22" i="1"/>
  <c r="V22" i="1"/>
  <c r="AN17" i="1"/>
  <c r="AH17" i="1"/>
  <c r="AE17" i="1"/>
  <c r="AB17" i="1"/>
  <c r="Y17" i="1"/>
  <c r="V17" i="1"/>
  <c r="AN12" i="1"/>
  <c r="AH12" i="1"/>
  <c r="AE12" i="1"/>
  <c r="AB12" i="1"/>
  <c r="Y12" i="1"/>
  <c r="V12" i="1"/>
  <c r="Z32" i="1" l="1"/>
  <c r="BJ12" i="1"/>
  <c r="BG22" i="1"/>
  <c r="BI42" i="1"/>
  <c r="S42" i="1"/>
  <c r="BY42" i="1"/>
  <c r="AI17" i="1"/>
  <c r="BL42" i="1"/>
  <c r="Z27" i="1"/>
  <c r="AX17" i="1"/>
  <c r="AR17" i="1"/>
  <c r="BD12" i="1"/>
  <c r="AC22" i="1"/>
  <c r="AO37" i="1"/>
  <c r="AR12" i="1"/>
  <c r="BA22" i="1"/>
  <c r="AF17" i="1"/>
  <c r="AO22" i="1"/>
  <c r="BM22" i="1"/>
  <c r="AU12" i="1"/>
  <c r="BD37" i="1"/>
  <c r="BD27" i="1"/>
  <c r="BP41" i="1"/>
  <c r="BS12" i="1"/>
  <c r="BR42" i="1"/>
  <c r="T42" i="1"/>
  <c r="AC32" i="1"/>
  <c r="AO27" i="1"/>
  <c r="AH42" i="1"/>
  <c r="AC37" i="1"/>
  <c r="W40" i="1"/>
  <c r="AR37" i="1"/>
  <c r="AU41" i="1"/>
  <c r="AF32" i="1"/>
  <c r="BS41" i="1"/>
  <c r="AB42" i="1"/>
  <c r="AC27" i="1"/>
  <c r="AX41" i="1"/>
  <c r="BF42" i="1"/>
  <c r="AL41" i="1"/>
  <c r="AU40" i="1"/>
  <c r="AU42" i="1" s="1"/>
  <c r="BC42" i="1"/>
  <c r="AE42" i="1"/>
  <c r="W17" i="1"/>
  <c r="AF22" i="1"/>
  <c r="AL22" i="1"/>
  <c r="AT42" i="1"/>
  <c r="AX37" i="1"/>
  <c r="AX32" i="1"/>
  <c r="BA32" i="1"/>
  <c r="BG17" i="1"/>
  <c r="BP40" i="1"/>
  <c r="Z40" i="1"/>
  <c r="BJ41" i="1"/>
  <c r="AF12" i="1"/>
  <c r="AK42" i="1"/>
  <c r="AR27" i="1"/>
  <c r="AL37" i="1"/>
  <c r="BG40" i="1"/>
  <c r="AL40" i="1"/>
  <c r="AR32" i="1"/>
  <c r="AU22" i="1"/>
  <c r="AX27" i="1"/>
  <c r="BD32" i="1"/>
  <c r="BS40" i="1"/>
  <c r="Z37" i="1"/>
  <c r="AF27" i="1"/>
  <c r="AI40" i="1"/>
  <c r="AW42" i="1"/>
  <c r="BA40" i="1"/>
  <c r="BD22" i="1"/>
  <c r="BJ40" i="1"/>
  <c r="BP17" i="1"/>
  <c r="BS32" i="1"/>
  <c r="CB42" i="1"/>
  <c r="AR40" i="1"/>
  <c r="BA17" i="1"/>
  <c r="W37" i="1"/>
  <c r="AC40" i="1"/>
  <c r="AI41" i="1"/>
  <c r="AL17" i="1"/>
  <c r="BA41" i="1"/>
  <c r="BG41" i="1"/>
  <c r="BG42" i="1" s="1"/>
  <c r="BP32" i="1"/>
  <c r="BU42" i="1"/>
  <c r="V42" i="1"/>
  <c r="W41" i="1"/>
  <c r="AI37" i="1"/>
  <c r="AR41" i="1"/>
  <c r="BD40" i="1"/>
  <c r="BG12" i="1"/>
  <c r="AZ42" i="1"/>
  <c r="Y42" i="1"/>
  <c r="AN42" i="1"/>
  <c r="AC41" i="1"/>
  <c r="AO41" i="1"/>
  <c r="BA27" i="1"/>
  <c r="BM41" i="1"/>
  <c r="W12" i="1"/>
  <c r="Z17" i="1"/>
  <c r="AF40" i="1"/>
  <c r="AL32" i="1"/>
  <c r="AO17" i="1"/>
  <c r="AU17" i="1"/>
  <c r="AX12" i="1"/>
  <c r="BD41" i="1"/>
  <c r="BJ32" i="1"/>
  <c r="BM40" i="1"/>
  <c r="AX40" i="1"/>
  <c r="AC12" i="1"/>
  <c r="AF41" i="1"/>
  <c r="Z41" i="1"/>
  <c r="AL27" i="1"/>
  <c r="W22" i="1"/>
  <c r="AC17" i="1"/>
  <c r="AI32" i="1"/>
  <c r="AI12" i="1"/>
  <c r="BV41" i="1"/>
  <c r="Z12" i="1"/>
  <c r="AO40" i="1"/>
  <c r="BV40" i="1"/>
  <c r="BP42" i="1" l="1"/>
  <c r="AR42" i="1"/>
  <c r="BS42" i="1"/>
  <c r="BJ42" i="1"/>
  <c r="AL42" i="1"/>
  <c r="W42" i="1"/>
  <c r="Z42" i="1"/>
  <c r="AF42" i="1"/>
  <c r="BM42" i="1"/>
  <c r="BD42" i="1"/>
  <c r="AI42" i="1"/>
  <c r="AX42" i="1"/>
  <c r="BA42" i="1"/>
  <c r="AC42" i="1"/>
  <c r="AO42" i="1"/>
  <c r="BV42" i="1"/>
</calcChain>
</file>

<file path=xl/sharedStrings.xml><?xml version="1.0" encoding="utf-8"?>
<sst xmlns="http://schemas.openxmlformats.org/spreadsheetml/2006/main" count="142" uniqueCount="51">
  <si>
    <t>Professor</t>
  </si>
  <si>
    <t>Tenured</t>
  </si>
  <si>
    <t>All</t>
  </si>
  <si>
    <t>Female</t>
  </si>
  <si>
    <t>Male</t>
  </si>
  <si>
    <t>TOTAL</t>
  </si>
  <si>
    <t>Associate Professor</t>
  </si>
  <si>
    <t>Assistant Professor</t>
  </si>
  <si>
    <t>Instructor</t>
  </si>
  <si>
    <t>Lecturer</t>
  </si>
  <si>
    <t>Other</t>
  </si>
  <si>
    <t>UNIVERSITY OF MISSOURI-ST. LOUIS</t>
  </si>
  <si>
    <t>Fall 2002</t>
  </si>
  <si>
    <t>Fall 2001</t>
  </si>
  <si>
    <t>Fall 2000</t>
  </si>
  <si>
    <t>Fall 1999</t>
  </si>
  <si>
    <t>Fall 1998</t>
  </si>
  <si>
    <t>Fall 1997</t>
  </si>
  <si>
    <t>Fall 1996</t>
  </si>
  <si>
    <t>Fall 1995</t>
  </si>
  <si>
    <t>Fall 1994</t>
  </si>
  <si>
    <t>Fall 1993</t>
  </si>
  <si>
    <t>Fall 1992</t>
  </si>
  <si>
    <t>Fall 1991</t>
  </si>
  <si>
    <t>Fall 1990</t>
  </si>
  <si>
    <t>Fall 1989</t>
  </si>
  <si>
    <t>Fall 1988</t>
  </si>
  <si>
    <t>Fall 1987</t>
  </si>
  <si>
    <t>TABLE 2-4. FULL-TIME FACULTY BY RANK, GENDER, AND TENURE STATUS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</si>
  <si>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</si>
  <si>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</si>
  <si>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</si>
  <si>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</si>
  <si>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</si>
  <si>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</si>
  <si>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</si>
  <si>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</si>
  <si>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</si>
  <si>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</si>
  <si>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</si>
  <si>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</si>
  <si>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</si>
  <si>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</si>
  <si>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</si>
  <si>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</si>
  <si>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</si>
  <si>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</si>
  <si>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Source:  EEO-6 (until 10/31/1992), IPEDS-S (10/31/1993-10/31/2004), and IPEDS-HR (10/31/2011), Institutional Research (Fall 2023)</t>
  </si>
  <si>
    <t>Fall 2021</t>
  </si>
  <si>
    <t>Fall 2022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</si>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</sst>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</font>
    <font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2" fillId="0" borderId="0" xfId="1" applyFont="1" applyAlignment="1">
      <alignment horizontal="left"/>
    </xf>
    <xf numFmtId="0" fontId="2" fillId="0" borderId="6" xfId="1" applyFont="1" applyBorder="1"/>
    <xf numFmtId="0" fontId="2" fillId="0" borderId="7" xfId="1" applyFont="1" applyBorder="1"/>
    <xf numFmtId="0" fontId="4" fillId="0" borderId="0" xfId="1" applyFont="1"/>
    <xf numFmtId="0" fontId="3" fillId="0" borderId="8" xfId="1" applyFont="1" applyBorder="1"/>
    <xf numFmtId="0" fontId="3" fillId="0" borderId="1" xfId="0" applyFont="1" applyBorder="1"/>
    <xf numFmtId="0" fontId="3" fillId="0" borderId="9" xfId="1" applyFont="1" applyBorder="1"/>
    <xf numFmtId="0" fontId="3" fillId="0" borderId="0" xfId="0" applyFont="1"/>
    <xf numFmtId="0" fontId="5" fillId="0" borderId="2" xfId="1" applyFont="1" applyBorder="1" applyAlignment="1">
      <alignment horizontal="left"/>
    </xf>
    <xf numFmtId="0" fontId="3" fillId="0" borderId="10" xfId="1" applyFont="1" applyBorder="1"/>
    <xf numFmtId="0" fontId="5" fillId="0" borderId="10" xfId="1" applyFont="1" applyBorder="1"/>
    <xf numFmtId="0" fontId="2" fillId="0" borderId="1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Normal_Bo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142875</xdr:rowOff>
    </xdr:from>
    <xdr:to>
      <xdr:col>1</xdr:col>
      <xdr:colOff>942975</xdr:colOff>
      <xdr:row>3</xdr:row>
      <xdr:rowOff>57150</xdr:rowOff>
    </xdr:to>
    <xdr:pic>
      <xdr:nvPicPr>
        <xdr:cNvPr id="1034" name="Pictur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46"/>
  <sheetViews>
    <sheetView showGridLines="0" tabSelected="1" zoomScaleNormal="100" workbookViewId="0">
      <selection activeCell="DK68" sqref="DK68"/>
    </sheetView>
  </sheetViews>
  <sheetFormatPr defaultColWidth="10.26953125" defaultRowHeight="12.75" customHeight="1" x14ac:dyDescent="0.25"/>
  <cols>
    <col min="1" max="1" width="2.1796875" style="1" customWidth="1"/>
    <col min="2" max="2" width="17.81640625" style="1" customWidth="1"/>
    <col min="3" max="3" width="0.453125" style="1" customWidth="1"/>
    <col min="4" max="4" width="6.7265625" style="1" hidden="1" customWidth="1"/>
    <col min="5" max="5" width="4.453125" style="1" hidden="1" customWidth="1"/>
    <col min="6" max="6" width="1.7265625" style="1" hidden="1" customWidth="1"/>
    <col min="7" max="7" width="6.7265625" style="1" hidden="1" customWidth="1"/>
    <col min="8" max="8" width="4.453125" style="1" hidden="1" customWidth="1"/>
    <col min="9" max="9" width="1.7265625" style="1" hidden="1" customWidth="1"/>
    <col min="10" max="10" width="6.7265625" style="1" hidden="1" customWidth="1"/>
    <col min="11" max="11" width="4.453125" style="1" hidden="1" customWidth="1"/>
    <col min="12" max="12" width="1.7265625" style="1" hidden="1" customWidth="1"/>
    <col min="13" max="13" width="6.7265625" style="1" hidden="1" customWidth="1"/>
    <col min="14" max="14" width="4.453125" style="1" hidden="1" customWidth="1"/>
    <col min="15" max="15" width="1.7265625" style="1" hidden="1" customWidth="1"/>
    <col min="16" max="16" width="6.7265625" style="1" hidden="1" customWidth="1"/>
    <col min="17" max="17" width="4.453125" style="1" hidden="1" customWidth="1"/>
    <col min="18" max="18" width="1.7265625" style="1" hidden="1" customWidth="1"/>
    <col min="19" max="19" width="6.7265625" style="1" hidden="1" customWidth="1"/>
    <col min="20" max="20" width="4.453125" style="1" hidden="1" customWidth="1"/>
    <col min="21" max="21" width="1.7265625" style="1" hidden="1" customWidth="1"/>
    <col min="22" max="22" width="6.7265625" style="1" hidden="1" customWidth="1"/>
    <col min="23" max="23" width="4.453125" style="1" hidden="1" customWidth="1"/>
    <col min="24" max="24" width="1.7265625" style="1" hidden="1" customWidth="1"/>
    <col min="25" max="25" width="6.7265625" style="1" hidden="1" customWidth="1"/>
    <col min="26" max="26" width="4.453125" style="1" hidden="1" customWidth="1"/>
    <col min="27" max="27" width="1.7265625" style="1" hidden="1" customWidth="1"/>
    <col min="28" max="28" width="6.7265625" style="1" hidden="1" customWidth="1"/>
    <col min="29" max="29" width="4.453125" style="1" hidden="1" customWidth="1"/>
    <col min="30" max="30" width="1.7265625" style="1" hidden="1" customWidth="1"/>
    <col min="31" max="31" width="6.7265625" style="1" hidden="1" customWidth="1"/>
    <col min="32" max="32" width="4.453125" style="1" hidden="1" customWidth="1"/>
    <col min="33" max="33" width="1.7265625" style="1" hidden="1" customWidth="1"/>
    <col min="34" max="34" width="6.7265625" style="1" hidden="1" customWidth="1"/>
    <col min="35" max="35" width="4.453125" style="1" hidden="1" customWidth="1"/>
    <col min="36" max="36" width="1.7265625" style="1" hidden="1" customWidth="1"/>
    <col min="37" max="37" width="6.7265625" style="1" hidden="1" customWidth="1"/>
    <col min="38" max="38" width="4.453125" style="1" hidden="1" customWidth="1"/>
    <col min="39" max="39" width="1.7265625" style="1" hidden="1" customWidth="1"/>
    <col min="40" max="40" width="6.7265625" style="1" hidden="1" customWidth="1"/>
    <col min="41" max="41" width="4.453125" style="1" hidden="1" customWidth="1"/>
    <col min="42" max="42" width="1.7265625" style="1" hidden="1" customWidth="1"/>
    <col min="43" max="43" width="6.7265625" style="1" hidden="1" customWidth="1"/>
    <col min="44" max="44" width="4.453125" style="1" hidden="1" customWidth="1"/>
    <col min="45" max="45" width="1.7265625" style="1" hidden="1" customWidth="1"/>
    <col min="46" max="46" width="6.7265625" style="1" hidden="1" customWidth="1"/>
    <col min="47" max="47" width="4.453125" style="1" hidden="1" customWidth="1"/>
    <col min="48" max="48" width="1.7265625" style="1" hidden="1" customWidth="1"/>
    <col min="49" max="49" width="6.7265625" style="1" hidden="1" customWidth="1"/>
    <col min="50" max="50" width="4.453125" style="1" hidden="1" customWidth="1"/>
    <col min="51" max="51" width="1.7265625" style="1" hidden="1" customWidth="1"/>
    <col min="52" max="52" width="7.7265625" style="1" hidden="1" customWidth="1"/>
    <col min="53" max="53" width="4.453125" style="1" hidden="1" customWidth="1"/>
    <col min="54" max="54" width="1.7265625" style="1" hidden="1" customWidth="1"/>
    <col min="55" max="55" width="7.7265625" style="1" hidden="1" customWidth="1"/>
    <col min="56" max="56" width="4.453125" style="1" hidden="1" customWidth="1"/>
    <col min="57" max="57" width="1.7265625" style="1" hidden="1" customWidth="1"/>
    <col min="58" max="58" width="7.7265625" style="1" hidden="1" customWidth="1"/>
    <col min="59" max="59" width="4.453125" style="1" hidden="1" customWidth="1"/>
    <col min="60" max="60" width="1.7265625" style="1" hidden="1" customWidth="1"/>
    <col min="61" max="61" width="7.7265625" style="1" hidden="1" customWidth="1"/>
    <col min="62" max="62" width="4.453125" style="1" hidden="1" customWidth="1"/>
    <col min="63" max="63" width="1.7265625" style="1" hidden="1" customWidth="1"/>
    <col min="64" max="64" width="6.81640625" style="1" hidden="1" customWidth="1"/>
    <col min="65" max="65" width="4.1796875" style="1" hidden="1" customWidth="1"/>
    <col min="66" max="66" width="1.7265625" style="1" hidden="1" customWidth="1"/>
    <col min="67" max="67" width="7.7265625" style="1" hidden="1" customWidth="1"/>
    <col min="68" max="71" width="4.453125" style="1" hidden="1" customWidth="1"/>
    <col min="72" max="72" width="1.7265625" style="1" hidden="1" customWidth="1"/>
    <col min="73" max="73" width="7.54296875" style="1" hidden="1" customWidth="1"/>
    <col min="74" max="74" width="4.453125" style="1" hidden="1" customWidth="1"/>
    <col min="75" max="75" width="1.7265625" style="1" hidden="1" customWidth="1"/>
    <col min="76" max="76" width="7.54296875" style="1" customWidth="1"/>
    <col min="77" max="77" width="4.453125" style="1" customWidth="1"/>
    <col min="78" max="78" width="1.7265625" style="1" customWidth="1"/>
    <col min="79" max="79" width="7.54296875" style="1" customWidth="1"/>
    <col min="80" max="80" width="4.453125" style="1" customWidth="1"/>
    <col min="81" max="81" width="1.7265625" style="1" customWidth="1"/>
    <col min="82" max="82" width="6.7265625" style="1" bestFit="1" customWidth="1"/>
    <col min="83" max="83" width="3.54296875" style="1" bestFit="1" customWidth="1"/>
    <col min="84" max="84" width="1.7265625" style="1" customWidth="1"/>
    <col min="85" max="85" width="6.7265625" style="1" bestFit="1" customWidth="1"/>
    <col min="86" max="86" width="3.54296875" style="1" bestFit="1" customWidth="1"/>
    <col min="87" max="87" width="1.7265625" style="1" customWidth="1"/>
    <col min="88" max="88" width="6.7265625" style="1" bestFit="1" customWidth="1"/>
    <col min="89" max="89" width="3.54296875" style="1" bestFit="1" customWidth="1"/>
    <col min="90" max="90" width="1.7265625" style="1" customWidth="1"/>
    <col min="91" max="91" width="6.7265625" style="1" bestFit="1" customWidth="1"/>
    <col min="92" max="92" width="3.54296875" style="1" customWidth="1"/>
    <col min="93" max="93" width="2.54296875" style="1" customWidth="1"/>
    <col min="94" max="94" width="6.26953125" style="1" customWidth="1"/>
    <col min="95" max="95" width="3.54296875" style="1" customWidth="1"/>
    <col min="96" max="96" width="2.54296875" style="1" customWidth="1"/>
    <col min="97" max="97" width="5.7265625" style="1" customWidth="1"/>
    <col min="98" max="98" width="3.54296875" style="1" customWidth="1"/>
    <col min="99" max="99" width="2.54296875" style="1" customWidth="1"/>
    <col min="100" max="100" width="6.1796875" style="1" customWidth="1"/>
    <col min="101" max="101" width="3.54296875" style="1" customWidth="1"/>
    <col min="102" max="102" width="1.7265625" style="1" customWidth="1"/>
    <col min="103" max="103" width="6.7265625" style="1" customWidth="1"/>
    <col min="104" max="104" width="3.81640625" style="1" customWidth="1"/>
    <col min="105" max="105" width="1.54296875" style="1" customWidth="1"/>
    <col min="106" max="106" width="6.36328125" style="1" bestFit="1" customWidth="1"/>
    <col min="107" max="107" width="3.08984375" style="1" customWidth="1"/>
    <col min="108" max="108" width="1.7265625" style="1" customWidth="1"/>
    <col min="109" max="109" width="7.453125" style="1" customWidth="1"/>
    <col min="110" max="110" width="3.54296875" style="1" customWidth="1"/>
    <col min="111" max="111" width="1.7265625" style="1" customWidth="1"/>
    <col min="112" max="112" width="6.7265625" style="1" bestFit="1" customWidth="1"/>
    <col min="113" max="113" width="3.54296875" style="1" bestFit="1" customWidth="1"/>
    <col min="114" max="114" width="2.1796875" style="1" customWidth="1"/>
    <col min="115" max="16384" width="10.26953125" style="1"/>
  </cols>
  <sheetData>
    <row r="1" spans="1:114" ht="12.75" customHeight="1" x14ac:dyDescent="0.25">
      <c r="A1" s="10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11"/>
    </row>
    <row r="2" spans="1:114" ht="12.75" customHeight="1" x14ac:dyDescent="0.3">
      <c r="A2" s="12"/>
      <c r="C2" s="24" t="s">
        <v>11</v>
      </c>
      <c r="D2" s="23"/>
      <c r="E2" s="25"/>
      <c r="F2" s="25"/>
      <c r="G2" s="25"/>
      <c r="H2" s="25"/>
      <c r="I2" s="25"/>
      <c r="J2" s="25"/>
      <c r="K2" s="25"/>
      <c r="L2" s="25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13"/>
    </row>
    <row r="3" spans="1:114" ht="12.75" customHeight="1" thickBot="1" x14ac:dyDescent="0.35">
      <c r="A3" s="12"/>
      <c r="B3" s="14"/>
      <c r="C3" s="22" t="s">
        <v>28</v>
      </c>
      <c r="D3" s="3"/>
      <c r="E3" s="4"/>
      <c r="F3" s="4"/>
      <c r="G3" s="4"/>
      <c r="H3" s="4"/>
      <c r="I3" s="4"/>
      <c r="J3" s="4"/>
      <c r="K3" s="4"/>
      <c r="L3" s="4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13"/>
    </row>
    <row r="4" spans="1:114" ht="12.75" customHeight="1" thickTop="1" x14ac:dyDescent="0.25">
      <c r="A4" s="12"/>
      <c r="B4" s="14"/>
      <c r="C4" s="1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13"/>
    </row>
    <row r="5" spans="1:114" ht="12.75" customHeight="1" x14ac:dyDescent="0.25">
      <c r="A5" s="12"/>
      <c r="B5" s="14"/>
      <c r="C5" s="1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13"/>
    </row>
    <row r="6" spans="1:114" ht="12.75" customHeight="1" x14ac:dyDescent="0.25">
      <c r="A6" s="12"/>
      <c r="DJ6" s="13"/>
    </row>
    <row r="7" spans="1:114" s="6" customFormat="1" ht="12.75" customHeight="1" x14ac:dyDescent="0.25">
      <c r="A7" s="15"/>
      <c r="D7" s="26" t="s">
        <v>27</v>
      </c>
      <c r="E7" s="26"/>
      <c r="F7" s="5"/>
      <c r="G7" s="26" t="s">
        <v>26</v>
      </c>
      <c r="H7" s="26"/>
      <c r="I7" s="5"/>
      <c r="J7" s="26" t="s">
        <v>25</v>
      </c>
      <c r="K7" s="26"/>
      <c r="L7" s="5"/>
      <c r="M7" s="26" t="s">
        <v>24</v>
      </c>
      <c r="N7" s="26"/>
      <c r="O7" s="5"/>
      <c r="P7" s="26" t="s">
        <v>23</v>
      </c>
      <c r="Q7" s="26"/>
      <c r="R7" s="5"/>
      <c r="S7" s="26" t="s">
        <v>22</v>
      </c>
      <c r="T7" s="26"/>
      <c r="U7" s="5"/>
      <c r="V7" s="26" t="s">
        <v>21</v>
      </c>
      <c r="W7" s="26"/>
      <c r="X7" s="5"/>
      <c r="Y7" s="26" t="s">
        <v>20</v>
      </c>
      <c r="Z7" s="26"/>
      <c r="AA7" s="5"/>
      <c r="AB7" s="26" t="s">
        <v>19</v>
      </c>
      <c r="AC7" s="26"/>
      <c r="AD7" s="5"/>
      <c r="AE7" s="26" t="s">
        <v>18</v>
      </c>
      <c r="AF7" s="26"/>
      <c r="AG7" s="5"/>
      <c r="AH7" s="26" t="s">
        <v>17</v>
      </c>
      <c r="AI7" s="26"/>
      <c r="AJ7" s="5"/>
      <c r="AK7" s="26" t="s">
        <v>16</v>
      </c>
      <c r="AL7" s="26"/>
      <c r="AM7" s="5"/>
      <c r="AN7" s="26" t="s">
        <v>15</v>
      </c>
      <c r="AO7" s="26"/>
      <c r="AP7" s="5"/>
      <c r="AQ7" s="26" t="s">
        <v>14</v>
      </c>
      <c r="AR7" s="26"/>
      <c r="AS7" s="5"/>
      <c r="AT7" s="26" t="s">
        <v>13</v>
      </c>
      <c r="AU7" s="26"/>
      <c r="AV7" s="5"/>
      <c r="AW7" s="26" t="s">
        <v>12</v>
      </c>
      <c r="AX7" s="26"/>
      <c r="AY7" s="5"/>
      <c r="AZ7" s="26" t="s">
        <v>29</v>
      </c>
      <c r="BA7" s="26"/>
      <c r="BB7" s="5"/>
      <c r="BC7" s="26" t="s">
        <v>30</v>
      </c>
      <c r="BD7" s="26"/>
      <c r="BE7" s="5"/>
      <c r="BF7" s="26" t="s">
        <v>31</v>
      </c>
      <c r="BG7" s="26"/>
      <c r="BH7" s="5"/>
      <c r="BI7" s="26" t="s">
        <v>32</v>
      </c>
      <c r="BJ7" s="26"/>
      <c r="BK7" s="5"/>
      <c r="BL7" s="26" t="s">
        <v>33</v>
      </c>
      <c r="BM7" s="26"/>
      <c r="BN7" s="5"/>
      <c r="BO7" s="26" t="s">
        <v>34</v>
      </c>
      <c r="BP7" s="26"/>
      <c r="BQ7" s="5"/>
      <c r="BR7" s="26" t="s">
        <v>35</v>
      </c>
      <c r="BS7" s="26"/>
      <c r="BT7" s="5"/>
      <c r="BU7" s="26" t="s">
        <v>36</v>
      </c>
      <c r="BV7" s="26"/>
      <c r="BW7" s="5"/>
      <c r="BX7" s="26" t="s">
        <v>37</v>
      </c>
      <c r="BY7" s="26"/>
      <c r="BZ7" s="5"/>
      <c r="CA7" s="26" t="s">
        <v>38</v>
      </c>
      <c r="CB7" s="26"/>
      <c r="CC7" s="5"/>
      <c r="CD7" s="26" t="s">
        <v>39</v>
      </c>
      <c r="CE7" s="26"/>
      <c r="CF7" s="5"/>
      <c r="CG7" s="26" t="s">
        <v>40</v>
      </c>
      <c r="CH7" s="26"/>
      <c r="CI7" s="5"/>
      <c r="CJ7" s="26" t="s">
        <v>41</v>
      </c>
      <c r="CK7" s="26"/>
      <c r="CL7" s="5"/>
      <c r="CM7" s="26" t="s">
        <v>42</v>
      </c>
      <c r="CN7" s="26"/>
      <c r="CO7" s="5"/>
      <c r="CP7" s="26" t="s">
        <v>43</v>
      </c>
      <c r="CQ7" s="26"/>
      <c r="CR7" s="5"/>
      <c r="CS7" s="26" t="s">
        <v>44</v>
      </c>
      <c r="CT7" s="26"/>
      <c r="CU7" s="5"/>
      <c r="CV7" s="26" t="s">
        <v>45</v>
      </c>
      <c r="CW7" s="26"/>
      <c r="CX7" s="5"/>
      <c r="CY7" s="26" t="s">
        <v>46</v>
      </c>
      <c r="CZ7" s="26"/>
      <c r="DA7" s="5"/>
      <c r="DB7" s="29" t="s">
        <v>48</v>
      </c>
      <c r="DC7" s="29"/>
      <c r="DD7" s="5"/>
      <c r="DE7" s="29" t="s">
        <v>49</v>
      </c>
      <c r="DF7" s="29"/>
      <c r="DG7" s="5"/>
      <c r="DH7" s="26" t="s">
        <v>50</v>
      </c>
      <c r="DI7" s="26"/>
      <c r="DJ7" s="16"/>
    </row>
    <row r="8" spans="1:114" ht="12.75" customHeight="1" x14ac:dyDescent="0.25">
      <c r="A8" s="12"/>
      <c r="D8" s="7" t="s">
        <v>1</v>
      </c>
      <c r="E8" s="7" t="s">
        <v>2</v>
      </c>
      <c r="F8" s="8"/>
      <c r="G8" s="7" t="s">
        <v>1</v>
      </c>
      <c r="H8" s="7" t="s">
        <v>2</v>
      </c>
      <c r="I8" s="8"/>
      <c r="J8" s="7" t="s">
        <v>1</v>
      </c>
      <c r="K8" s="7" t="s">
        <v>2</v>
      </c>
      <c r="L8" s="8"/>
      <c r="M8" s="7" t="s">
        <v>1</v>
      </c>
      <c r="N8" s="7" t="s">
        <v>2</v>
      </c>
      <c r="O8" s="8"/>
      <c r="P8" s="7" t="s">
        <v>1</v>
      </c>
      <c r="Q8" s="7" t="s">
        <v>2</v>
      </c>
      <c r="R8" s="8"/>
      <c r="S8" s="7" t="s">
        <v>1</v>
      </c>
      <c r="T8" s="7" t="s">
        <v>2</v>
      </c>
      <c r="U8" s="8"/>
      <c r="V8" s="7" t="s">
        <v>1</v>
      </c>
      <c r="W8" s="7" t="s">
        <v>2</v>
      </c>
      <c r="X8" s="8"/>
      <c r="Y8" s="7" t="s">
        <v>1</v>
      </c>
      <c r="Z8" s="7" t="s">
        <v>2</v>
      </c>
      <c r="AA8" s="8"/>
      <c r="AB8" s="7" t="s">
        <v>1</v>
      </c>
      <c r="AC8" s="7" t="s">
        <v>2</v>
      </c>
      <c r="AD8" s="8"/>
      <c r="AE8" s="7" t="s">
        <v>1</v>
      </c>
      <c r="AF8" s="7" t="s">
        <v>2</v>
      </c>
      <c r="AG8" s="8"/>
      <c r="AH8" s="7" t="s">
        <v>1</v>
      </c>
      <c r="AI8" s="7" t="s">
        <v>2</v>
      </c>
      <c r="AJ8" s="8"/>
      <c r="AK8" s="7" t="s">
        <v>1</v>
      </c>
      <c r="AL8" s="7" t="s">
        <v>2</v>
      </c>
      <c r="AM8" s="8"/>
      <c r="AN8" s="7" t="s">
        <v>1</v>
      </c>
      <c r="AO8" s="7" t="s">
        <v>2</v>
      </c>
      <c r="AP8" s="8"/>
      <c r="AQ8" s="7" t="s">
        <v>1</v>
      </c>
      <c r="AR8" s="7" t="s">
        <v>2</v>
      </c>
      <c r="AS8" s="8"/>
      <c r="AT8" s="7" t="s">
        <v>1</v>
      </c>
      <c r="AU8" s="7" t="s">
        <v>2</v>
      </c>
      <c r="AV8" s="8"/>
      <c r="AW8" s="7" t="s">
        <v>1</v>
      </c>
      <c r="AX8" s="7" t="s">
        <v>2</v>
      </c>
      <c r="AY8" s="8"/>
      <c r="AZ8" s="7" t="s">
        <v>1</v>
      </c>
      <c r="BA8" s="7" t="s">
        <v>2</v>
      </c>
      <c r="BB8" s="8"/>
      <c r="BC8" s="7" t="s">
        <v>1</v>
      </c>
      <c r="BD8" s="7" t="s">
        <v>2</v>
      </c>
      <c r="BE8" s="8"/>
      <c r="BF8" s="7" t="s">
        <v>1</v>
      </c>
      <c r="BG8" s="7" t="s">
        <v>2</v>
      </c>
      <c r="BH8" s="8"/>
      <c r="BI8" s="7" t="s">
        <v>1</v>
      </c>
      <c r="BJ8" s="7" t="s">
        <v>2</v>
      </c>
      <c r="BK8" s="8"/>
      <c r="BL8" s="7" t="s">
        <v>1</v>
      </c>
      <c r="BM8" s="7" t="s">
        <v>2</v>
      </c>
      <c r="BN8" s="8"/>
      <c r="BO8" s="7" t="s">
        <v>1</v>
      </c>
      <c r="BP8" s="7" t="s">
        <v>2</v>
      </c>
      <c r="BQ8" s="8"/>
      <c r="BR8" s="7" t="s">
        <v>1</v>
      </c>
      <c r="BS8" s="7" t="s">
        <v>2</v>
      </c>
      <c r="BT8" s="8"/>
      <c r="BU8" s="7" t="s">
        <v>1</v>
      </c>
      <c r="BV8" s="7" t="s">
        <v>2</v>
      </c>
      <c r="BW8" s="8"/>
      <c r="BX8" s="7" t="s">
        <v>1</v>
      </c>
      <c r="BY8" s="7" t="s">
        <v>2</v>
      </c>
      <c r="BZ8" s="8"/>
      <c r="CA8" s="7" t="s">
        <v>1</v>
      </c>
      <c r="CB8" s="7" t="s">
        <v>2</v>
      </c>
      <c r="CC8" s="8"/>
      <c r="CD8" s="7" t="s">
        <v>1</v>
      </c>
      <c r="CE8" s="7" t="s">
        <v>2</v>
      </c>
      <c r="CF8" s="8"/>
      <c r="CG8" s="7" t="s">
        <v>1</v>
      </c>
      <c r="CH8" s="7" t="s">
        <v>2</v>
      </c>
      <c r="CI8" s="8"/>
      <c r="CJ8" s="7" t="s">
        <v>1</v>
      </c>
      <c r="CK8" s="7" t="s">
        <v>2</v>
      </c>
      <c r="CL8" s="8"/>
      <c r="CM8" s="7" t="s">
        <v>1</v>
      </c>
      <c r="CN8" s="7" t="s">
        <v>2</v>
      </c>
      <c r="CO8" s="8"/>
      <c r="CP8" s="7" t="s">
        <v>1</v>
      </c>
      <c r="CQ8" s="7" t="s">
        <v>2</v>
      </c>
      <c r="CR8" s="8"/>
      <c r="CS8" s="7" t="s">
        <v>1</v>
      </c>
      <c r="CT8" s="7" t="s">
        <v>2</v>
      </c>
      <c r="CU8" s="8"/>
      <c r="CV8" s="7" t="s">
        <v>1</v>
      </c>
      <c r="CW8" s="7" t="s">
        <v>2</v>
      </c>
      <c r="CX8" s="8"/>
      <c r="CY8" s="7" t="s">
        <v>1</v>
      </c>
      <c r="CZ8" s="7" t="s">
        <v>2</v>
      </c>
      <c r="DA8" s="8"/>
      <c r="DB8" s="27" t="s">
        <v>1</v>
      </c>
      <c r="DC8" s="27" t="s">
        <v>2</v>
      </c>
      <c r="DD8" s="8"/>
      <c r="DE8" s="27" t="s">
        <v>1</v>
      </c>
      <c r="DF8" s="27" t="s">
        <v>2</v>
      </c>
      <c r="DG8" s="8"/>
      <c r="DH8" s="7" t="s">
        <v>1</v>
      </c>
      <c r="DI8" s="7" t="s">
        <v>2</v>
      </c>
      <c r="DJ8" s="13"/>
    </row>
    <row r="9" spans="1:114" ht="12.75" customHeight="1" x14ac:dyDescent="0.25">
      <c r="A9" s="12"/>
      <c r="B9" s="17" t="s">
        <v>0</v>
      </c>
      <c r="C9" s="17"/>
      <c r="DB9" s="21"/>
      <c r="DC9" s="21"/>
      <c r="DE9" s="21"/>
      <c r="DF9" s="21"/>
      <c r="DJ9" s="13"/>
    </row>
    <row r="10" spans="1:114" ht="12.75" customHeight="1" x14ac:dyDescent="0.25">
      <c r="A10" s="12"/>
      <c r="B10" s="1" t="s">
        <v>3</v>
      </c>
      <c r="D10" s="1">
        <v>8</v>
      </c>
      <c r="E10" s="1">
        <v>8</v>
      </c>
      <c r="G10" s="1">
        <v>9</v>
      </c>
      <c r="H10" s="1">
        <v>9</v>
      </c>
      <c r="J10" s="1">
        <v>9</v>
      </c>
      <c r="K10" s="1">
        <v>9</v>
      </c>
      <c r="M10" s="1">
        <v>11</v>
      </c>
      <c r="N10" s="1">
        <v>12</v>
      </c>
      <c r="P10" s="1">
        <v>12</v>
      </c>
      <c r="Q10" s="1">
        <v>12</v>
      </c>
      <c r="S10" s="1">
        <v>11</v>
      </c>
      <c r="T10" s="1">
        <v>11</v>
      </c>
      <c r="V10" s="1">
        <v>12</v>
      </c>
      <c r="W10" s="1">
        <f>12+0+0</f>
        <v>12</v>
      </c>
      <c r="Y10" s="1">
        <v>13</v>
      </c>
      <c r="Z10" s="1">
        <f>13+0+1</f>
        <v>14</v>
      </c>
      <c r="AB10" s="1">
        <v>14</v>
      </c>
      <c r="AC10" s="1">
        <f>14+0+4</f>
        <v>18</v>
      </c>
      <c r="AE10" s="1">
        <v>17</v>
      </c>
      <c r="AF10" s="1">
        <f>17+0+3</f>
        <v>20</v>
      </c>
      <c r="AH10" s="1">
        <v>19</v>
      </c>
      <c r="AI10" s="1">
        <f>19+1+3</f>
        <v>23</v>
      </c>
      <c r="AK10" s="1">
        <v>22</v>
      </c>
      <c r="AL10" s="1">
        <f>22+1+4</f>
        <v>27</v>
      </c>
      <c r="AN10" s="1">
        <v>28</v>
      </c>
      <c r="AO10" s="1">
        <f>28+0+3</f>
        <v>31</v>
      </c>
      <c r="AQ10" s="1">
        <v>25</v>
      </c>
      <c r="AR10" s="1">
        <f>25+0+3</f>
        <v>28</v>
      </c>
      <c r="AT10" s="1">
        <v>24</v>
      </c>
      <c r="AU10" s="1">
        <f>24+0+2</f>
        <v>26</v>
      </c>
      <c r="AW10" s="1">
        <v>26</v>
      </c>
      <c r="AX10" s="1">
        <f>26+0+2</f>
        <v>28</v>
      </c>
      <c r="AZ10" s="1">
        <v>21</v>
      </c>
      <c r="BA10" s="1">
        <f>21+0+3</f>
        <v>24</v>
      </c>
      <c r="BC10" s="1">
        <v>26</v>
      </c>
      <c r="BD10" s="1">
        <f>26+0+1</f>
        <v>27</v>
      </c>
      <c r="BF10" s="1">
        <v>28</v>
      </c>
      <c r="BG10" s="1">
        <f>28+2</f>
        <v>30</v>
      </c>
      <c r="BI10" s="1">
        <v>31</v>
      </c>
      <c r="BJ10" s="1">
        <f>31+2</f>
        <v>33</v>
      </c>
      <c r="BL10" s="1">
        <v>29</v>
      </c>
      <c r="BM10" s="1">
        <f>29+3</f>
        <v>32</v>
      </c>
      <c r="BO10" s="1">
        <v>29</v>
      </c>
      <c r="BP10" s="1">
        <f>29+1+5</f>
        <v>35</v>
      </c>
      <c r="BR10" s="1">
        <v>29</v>
      </c>
      <c r="BS10" s="1">
        <f>29+1+7</f>
        <v>37</v>
      </c>
      <c r="BU10" s="1">
        <v>28</v>
      </c>
      <c r="BV10" s="1">
        <f>28+1+10</f>
        <v>39</v>
      </c>
      <c r="BX10" s="1">
        <v>27</v>
      </c>
      <c r="BY10" s="1">
        <f>27+12</f>
        <v>39</v>
      </c>
      <c r="CA10" s="1">
        <v>29</v>
      </c>
      <c r="CB10" s="1">
        <v>44</v>
      </c>
      <c r="CD10" s="1">
        <v>33</v>
      </c>
      <c r="CE10" s="1">
        <v>49</v>
      </c>
      <c r="CG10" s="1">
        <v>32</v>
      </c>
      <c r="CH10" s="1">
        <v>51</v>
      </c>
      <c r="CJ10" s="1">
        <v>32</v>
      </c>
      <c r="CK10" s="1">
        <v>50</v>
      </c>
      <c r="CM10" s="1">
        <v>34</v>
      </c>
      <c r="CN10" s="1">
        <v>53</v>
      </c>
      <c r="CP10" s="1">
        <v>31</v>
      </c>
      <c r="CQ10" s="1">
        <v>45</v>
      </c>
      <c r="CS10" s="1">
        <v>29</v>
      </c>
      <c r="CT10" s="1">
        <v>43</v>
      </c>
      <c r="CV10" s="1">
        <v>30</v>
      </c>
      <c r="CW10" s="1">
        <v>48</v>
      </c>
      <c r="CY10" s="1">
        <v>35</v>
      </c>
      <c r="CZ10" s="1">
        <v>52</v>
      </c>
      <c r="DB10" s="21">
        <v>34</v>
      </c>
      <c r="DC10" s="21">
        <v>54</v>
      </c>
      <c r="DE10" s="21">
        <v>31</v>
      </c>
      <c r="DF10" s="21">
        <v>49</v>
      </c>
      <c r="DH10" s="1">
        <v>27</v>
      </c>
      <c r="DI10" s="1">
        <v>46</v>
      </c>
      <c r="DJ10" s="13"/>
    </row>
    <row r="11" spans="1:114" ht="12.75" customHeight="1" x14ac:dyDescent="0.25">
      <c r="A11" s="12"/>
      <c r="B11" s="1" t="s">
        <v>4</v>
      </c>
      <c r="D11" s="1">
        <v>84</v>
      </c>
      <c r="E11" s="1">
        <v>85</v>
      </c>
      <c r="G11" s="1">
        <v>80</v>
      </c>
      <c r="H11" s="1">
        <v>81</v>
      </c>
      <c r="J11" s="1">
        <v>74</v>
      </c>
      <c r="K11" s="1">
        <v>75</v>
      </c>
      <c r="M11" s="1">
        <v>73</v>
      </c>
      <c r="N11" s="1">
        <v>73</v>
      </c>
      <c r="P11" s="1">
        <v>71</v>
      </c>
      <c r="Q11" s="1">
        <v>72</v>
      </c>
      <c r="S11" s="1">
        <v>68</v>
      </c>
      <c r="T11" s="1">
        <v>68</v>
      </c>
      <c r="V11" s="1">
        <v>74</v>
      </c>
      <c r="W11" s="1">
        <f>74+0+1</f>
        <v>75</v>
      </c>
      <c r="Y11" s="1">
        <v>79</v>
      </c>
      <c r="Z11" s="1">
        <f>79+0+2</f>
        <v>81</v>
      </c>
      <c r="AB11" s="1">
        <v>84</v>
      </c>
      <c r="AC11" s="1">
        <f>84+0+2</f>
        <v>86</v>
      </c>
      <c r="AE11" s="1">
        <v>88</v>
      </c>
      <c r="AF11" s="1">
        <f>88+0+1</f>
        <v>89</v>
      </c>
      <c r="AH11" s="1">
        <v>91</v>
      </c>
      <c r="AI11" s="1">
        <f>91+0+2</f>
        <v>93</v>
      </c>
      <c r="AK11" s="1">
        <v>93</v>
      </c>
      <c r="AL11" s="1">
        <f>93+0+2</f>
        <v>95</v>
      </c>
      <c r="AN11" s="1">
        <v>99</v>
      </c>
      <c r="AO11" s="1">
        <f>99+0+3</f>
        <v>102</v>
      </c>
      <c r="AQ11" s="1">
        <v>92</v>
      </c>
      <c r="AR11" s="1">
        <f>92+0+4</f>
        <v>96</v>
      </c>
      <c r="AT11" s="1">
        <v>99</v>
      </c>
      <c r="AU11" s="1">
        <f>99+0+6</f>
        <v>105</v>
      </c>
      <c r="AW11" s="1">
        <v>93</v>
      </c>
      <c r="AX11" s="1">
        <f>93+0+4</f>
        <v>97</v>
      </c>
      <c r="AZ11" s="1">
        <v>84</v>
      </c>
      <c r="BA11" s="1">
        <f>84+0+7</f>
        <v>91</v>
      </c>
      <c r="BC11" s="1">
        <v>82</v>
      </c>
      <c r="BD11" s="1">
        <f>82+0+9</f>
        <v>91</v>
      </c>
      <c r="BF11" s="1">
        <v>84</v>
      </c>
      <c r="BG11" s="1">
        <f>84+6</f>
        <v>90</v>
      </c>
      <c r="BI11" s="1">
        <v>88</v>
      </c>
      <c r="BJ11" s="1">
        <f>88+7</f>
        <v>95</v>
      </c>
      <c r="BL11" s="1">
        <v>84</v>
      </c>
      <c r="BM11" s="1">
        <f>84+18</f>
        <v>102</v>
      </c>
      <c r="BO11" s="1">
        <v>88</v>
      </c>
      <c r="BP11" s="1">
        <f>88+17</f>
        <v>105</v>
      </c>
      <c r="BR11" s="1">
        <v>81</v>
      </c>
      <c r="BS11" s="1">
        <f>81+16</f>
        <v>97</v>
      </c>
      <c r="BU11" s="1">
        <v>77</v>
      </c>
      <c r="BV11" s="1">
        <f>77+2+18</f>
        <v>97</v>
      </c>
      <c r="BX11" s="1">
        <v>75</v>
      </c>
      <c r="BY11" s="1">
        <f>17+75</f>
        <v>92</v>
      </c>
      <c r="CA11" s="1">
        <v>74</v>
      </c>
      <c r="CB11" s="1">
        <v>90</v>
      </c>
      <c r="CD11" s="1">
        <v>78</v>
      </c>
      <c r="CE11" s="1">
        <v>92</v>
      </c>
      <c r="CG11" s="1">
        <v>76</v>
      </c>
      <c r="CH11" s="1">
        <v>90</v>
      </c>
      <c r="CJ11" s="1">
        <v>76</v>
      </c>
      <c r="CK11" s="1">
        <v>89</v>
      </c>
      <c r="CM11" s="1">
        <v>68</v>
      </c>
      <c r="CN11" s="1">
        <v>81</v>
      </c>
      <c r="CP11" s="1">
        <v>69</v>
      </c>
      <c r="CQ11" s="1">
        <v>80</v>
      </c>
      <c r="CS11" s="1">
        <v>65</v>
      </c>
      <c r="CT11" s="1">
        <v>76</v>
      </c>
      <c r="CV11" s="1">
        <v>58</v>
      </c>
      <c r="CW11" s="1">
        <v>67</v>
      </c>
      <c r="CY11" s="1">
        <v>58</v>
      </c>
      <c r="CZ11" s="1">
        <v>66</v>
      </c>
      <c r="DB11" s="21">
        <v>58</v>
      </c>
      <c r="DC11" s="21">
        <v>65</v>
      </c>
      <c r="DE11" s="21">
        <v>58</v>
      </c>
      <c r="DF11" s="21">
        <v>66</v>
      </c>
      <c r="DH11" s="1">
        <v>59</v>
      </c>
      <c r="DI11" s="1">
        <v>67</v>
      </c>
      <c r="DJ11" s="13"/>
    </row>
    <row r="12" spans="1:114" ht="12.75" customHeight="1" thickBot="1" x14ac:dyDescent="0.3">
      <c r="A12" s="12"/>
      <c r="B12" s="1" t="s">
        <v>5</v>
      </c>
      <c r="D12" s="9">
        <v>92</v>
      </c>
      <c r="E12" s="9">
        <v>93</v>
      </c>
      <c r="G12" s="9">
        <v>89</v>
      </c>
      <c r="H12" s="9">
        <v>90</v>
      </c>
      <c r="J12" s="9">
        <v>83</v>
      </c>
      <c r="K12" s="9">
        <v>84</v>
      </c>
      <c r="M12" s="9">
        <v>84</v>
      </c>
      <c r="N12" s="9">
        <v>85</v>
      </c>
      <c r="P12" s="9">
        <v>83</v>
      </c>
      <c r="Q12" s="9">
        <v>84</v>
      </c>
      <c r="S12" s="9">
        <v>79</v>
      </c>
      <c r="T12" s="9">
        <v>79</v>
      </c>
      <c r="V12" s="9">
        <f t="shared" ref="V12:AO12" si="0">V10+V11</f>
        <v>86</v>
      </c>
      <c r="W12" s="9">
        <f t="shared" si="0"/>
        <v>87</v>
      </c>
      <c r="Y12" s="9">
        <f t="shared" si="0"/>
        <v>92</v>
      </c>
      <c r="Z12" s="9">
        <f t="shared" si="0"/>
        <v>95</v>
      </c>
      <c r="AB12" s="9">
        <f t="shared" si="0"/>
        <v>98</v>
      </c>
      <c r="AC12" s="9">
        <f t="shared" si="0"/>
        <v>104</v>
      </c>
      <c r="AE12" s="9">
        <f t="shared" si="0"/>
        <v>105</v>
      </c>
      <c r="AF12" s="9">
        <f t="shared" si="0"/>
        <v>109</v>
      </c>
      <c r="AH12" s="9">
        <f t="shared" si="0"/>
        <v>110</v>
      </c>
      <c r="AI12" s="9">
        <f t="shared" si="0"/>
        <v>116</v>
      </c>
      <c r="AK12" s="9">
        <f>AK10+AK11</f>
        <v>115</v>
      </c>
      <c r="AL12" s="9">
        <f>AL10+AL11</f>
        <v>122</v>
      </c>
      <c r="AN12" s="9">
        <f t="shared" si="0"/>
        <v>127</v>
      </c>
      <c r="AO12" s="9">
        <f t="shared" si="0"/>
        <v>133</v>
      </c>
      <c r="AQ12" s="9">
        <f>AQ10+AQ11</f>
        <v>117</v>
      </c>
      <c r="AR12" s="9">
        <f>AR10+AR11</f>
        <v>124</v>
      </c>
      <c r="AT12" s="9">
        <f>AT10+AT11</f>
        <v>123</v>
      </c>
      <c r="AU12" s="9">
        <f>AU10+AU11</f>
        <v>131</v>
      </c>
      <c r="AW12" s="9">
        <f>AW10+AW11</f>
        <v>119</v>
      </c>
      <c r="AX12" s="9">
        <f>AX10+AX11</f>
        <v>125</v>
      </c>
      <c r="AZ12" s="9">
        <f>AZ10+AZ11</f>
        <v>105</v>
      </c>
      <c r="BA12" s="9">
        <f>BA10+BA11</f>
        <v>115</v>
      </c>
      <c r="BC12" s="9">
        <f>BC10+BC11</f>
        <v>108</v>
      </c>
      <c r="BD12" s="9">
        <f>BD10+BD11</f>
        <v>118</v>
      </c>
      <c r="BF12" s="9">
        <f>BF10+BF11</f>
        <v>112</v>
      </c>
      <c r="BG12" s="9">
        <f>BG10+BG11</f>
        <v>120</v>
      </c>
      <c r="BI12" s="9">
        <f>BI10+BI11</f>
        <v>119</v>
      </c>
      <c r="BJ12" s="9">
        <f>BJ10+BJ11</f>
        <v>128</v>
      </c>
      <c r="BL12" s="9">
        <f>BL10+BL11</f>
        <v>113</v>
      </c>
      <c r="BM12" s="9">
        <f>BM10+BM11</f>
        <v>134</v>
      </c>
      <c r="BO12" s="9">
        <f>BO10+BO11</f>
        <v>117</v>
      </c>
      <c r="BP12" s="9">
        <f>BP10+BP11</f>
        <v>140</v>
      </c>
      <c r="BR12" s="9">
        <f>BR10+BR11</f>
        <v>110</v>
      </c>
      <c r="BS12" s="9">
        <f>BS10+BS11</f>
        <v>134</v>
      </c>
      <c r="BU12" s="9">
        <f>BU10+BU11</f>
        <v>105</v>
      </c>
      <c r="BV12" s="9">
        <f>BV10+BV11</f>
        <v>136</v>
      </c>
      <c r="BX12" s="9">
        <f>BX10+BX11</f>
        <v>102</v>
      </c>
      <c r="BY12" s="9">
        <f>BY10+BY11</f>
        <v>131</v>
      </c>
      <c r="CA12" s="9">
        <f>CA10+CA11</f>
        <v>103</v>
      </c>
      <c r="CB12" s="9">
        <f>CB10+CB11</f>
        <v>134</v>
      </c>
      <c r="CD12" s="9">
        <f>CD10+CD11</f>
        <v>111</v>
      </c>
      <c r="CE12" s="9">
        <f>CE10+CE11</f>
        <v>141</v>
      </c>
      <c r="CG12" s="9">
        <f>CG10+CG11</f>
        <v>108</v>
      </c>
      <c r="CH12" s="9">
        <f>CH10+CH11</f>
        <v>141</v>
      </c>
      <c r="CJ12" s="9">
        <f>CJ10+CJ11</f>
        <v>108</v>
      </c>
      <c r="CK12" s="9">
        <f>CK10+CK11</f>
        <v>139</v>
      </c>
      <c r="CM12" s="9">
        <f>CM10+CM11</f>
        <v>102</v>
      </c>
      <c r="CN12" s="9">
        <f>CN10+CN11</f>
        <v>134</v>
      </c>
      <c r="CP12" s="9">
        <f>CP10+CP11</f>
        <v>100</v>
      </c>
      <c r="CQ12" s="9">
        <f>CQ10+CQ11</f>
        <v>125</v>
      </c>
      <c r="CS12" s="9">
        <v>94</v>
      </c>
      <c r="CT12" s="9">
        <v>119</v>
      </c>
      <c r="CV12" s="9">
        <v>88</v>
      </c>
      <c r="CW12" s="9">
        <v>115</v>
      </c>
      <c r="CY12" s="9">
        <v>93</v>
      </c>
      <c r="CZ12" s="9">
        <v>118</v>
      </c>
      <c r="DB12" s="28">
        <v>92</v>
      </c>
      <c r="DC12" s="28">
        <v>119</v>
      </c>
      <c r="DE12" s="28">
        <v>89</v>
      </c>
      <c r="DF12" s="28">
        <v>115</v>
      </c>
      <c r="DH12" s="9">
        <v>86</v>
      </c>
      <c r="DI12" s="9">
        <v>113</v>
      </c>
      <c r="DJ12" s="13"/>
    </row>
    <row r="13" spans="1:114" ht="12.75" customHeight="1" thickTop="1" x14ac:dyDescent="0.25">
      <c r="A13" s="12"/>
      <c r="DB13" s="21"/>
      <c r="DC13" s="21"/>
      <c r="DE13" s="21"/>
      <c r="DF13" s="21"/>
      <c r="DJ13" s="13"/>
    </row>
    <row r="14" spans="1:114" ht="12.75" customHeight="1" x14ac:dyDescent="0.25">
      <c r="A14" s="12"/>
      <c r="B14" s="17" t="s">
        <v>6</v>
      </c>
      <c r="C14" s="17"/>
      <c r="DB14" s="21"/>
      <c r="DC14" s="21"/>
      <c r="DE14" s="21"/>
      <c r="DF14" s="21"/>
      <c r="DJ14" s="13"/>
    </row>
    <row r="15" spans="1:114" ht="12.75" customHeight="1" x14ac:dyDescent="0.25">
      <c r="A15" s="12"/>
      <c r="B15" s="1" t="s">
        <v>3</v>
      </c>
      <c r="D15" s="1">
        <v>31</v>
      </c>
      <c r="E15" s="1">
        <v>31</v>
      </c>
      <c r="G15" s="1">
        <v>30</v>
      </c>
      <c r="H15" s="1">
        <v>32</v>
      </c>
      <c r="J15" s="1">
        <v>34</v>
      </c>
      <c r="K15" s="1">
        <v>37</v>
      </c>
      <c r="M15" s="1">
        <v>28</v>
      </c>
      <c r="N15" s="1">
        <v>30</v>
      </c>
      <c r="P15" s="1">
        <v>29</v>
      </c>
      <c r="Q15" s="1">
        <v>33</v>
      </c>
      <c r="S15" s="1">
        <v>30</v>
      </c>
      <c r="T15" s="1">
        <v>32</v>
      </c>
      <c r="V15" s="1">
        <v>31</v>
      </c>
      <c r="W15" s="1">
        <f>31+2+1</f>
        <v>34</v>
      </c>
      <c r="Y15" s="1">
        <v>33</v>
      </c>
      <c r="Z15" s="1">
        <f>33+5+9</f>
        <v>47</v>
      </c>
      <c r="AB15" s="1">
        <v>33</v>
      </c>
      <c r="AC15" s="1">
        <f>33+5+7</f>
        <v>45</v>
      </c>
      <c r="AE15" s="1">
        <v>40</v>
      </c>
      <c r="AF15" s="1">
        <f>40+3+7</f>
        <v>50</v>
      </c>
      <c r="AH15" s="1">
        <v>46</v>
      </c>
      <c r="AI15" s="1">
        <f>46+3+8</f>
        <v>57</v>
      </c>
      <c r="AK15" s="1">
        <v>49</v>
      </c>
      <c r="AL15" s="1">
        <f>49+3+8</f>
        <v>60</v>
      </c>
      <c r="AN15" s="1">
        <v>45</v>
      </c>
      <c r="AO15" s="1">
        <f>45+1+8</f>
        <v>54</v>
      </c>
      <c r="AQ15" s="1">
        <v>41</v>
      </c>
      <c r="AR15" s="1">
        <f>41+2+8</f>
        <v>51</v>
      </c>
      <c r="AT15" s="1">
        <v>39</v>
      </c>
      <c r="AU15" s="1">
        <f>39+4+9</f>
        <v>52</v>
      </c>
      <c r="AW15" s="1">
        <v>36</v>
      </c>
      <c r="AX15" s="1">
        <f>36+2+8</f>
        <v>46</v>
      </c>
      <c r="AZ15" s="1">
        <v>35</v>
      </c>
      <c r="BA15" s="1">
        <f>35+2+10</f>
        <v>47</v>
      </c>
      <c r="BC15" s="1">
        <v>31</v>
      </c>
      <c r="BD15" s="1">
        <f>31+4+10</f>
        <v>45</v>
      </c>
      <c r="BF15" s="1">
        <v>40</v>
      </c>
      <c r="BG15" s="1">
        <f>40+8</f>
        <v>48</v>
      </c>
      <c r="BI15" s="1">
        <v>46</v>
      </c>
      <c r="BJ15" s="1">
        <f>46+1+7</f>
        <v>54</v>
      </c>
      <c r="BL15" s="1">
        <v>51</v>
      </c>
      <c r="BM15" s="1">
        <f>51+1+21</f>
        <v>73</v>
      </c>
      <c r="BO15" s="1">
        <v>49</v>
      </c>
      <c r="BP15" s="1">
        <f>49+3+25</f>
        <v>77</v>
      </c>
      <c r="BR15" s="1">
        <v>48</v>
      </c>
      <c r="BS15" s="1">
        <f>48+5+25</f>
        <v>78</v>
      </c>
      <c r="BU15" s="1">
        <v>57</v>
      </c>
      <c r="BV15" s="1">
        <f>57+4+30</f>
        <v>91</v>
      </c>
      <c r="BX15" s="1">
        <v>62</v>
      </c>
      <c r="BY15" s="1">
        <f>62+6+31</f>
        <v>99</v>
      </c>
      <c r="CA15" s="1">
        <v>63</v>
      </c>
      <c r="CB15" s="1">
        <v>95</v>
      </c>
      <c r="CD15" s="1">
        <v>67</v>
      </c>
      <c r="CE15" s="1">
        <v>101</v>
      </c>
      <c r="CG15" s="1">
        <v>62</v>
      </c>
      <c r="CH15" s="1">
        <v>92</v>
      </c>
      <c r="CJ15" s="1">
        <v>59</v>
      </c>
      <c r="CK15" s="1">
        <v>93</v>
      </c>
      <c r="CM15" s="1">
        <v>49</v>
      </c>
      <c r="CN15" s="1">
        <v>79</v>
      </c>
      <c r="CP15" s="1">
        <v>48</v>
      </c>
      <c r="CQ15" s="1">
        <v>81</v>
      </c>
      <c r="CS15" s="1">
        <v>43</v>
      </c>
      <c r="CT15" s="1">
        <v>76</v>
      </c>
      <c r="CV15" s="1">
        <v>39</v>
      </c>
      <c r="CW15" s="1">
        <v>69</v>
      </c>
      <c r="CY15" s="1">
        <v>37</v>
      </c>
      <c r="CZ15" s="1">
        <v>71</v>
      </c>
      <c r="DB15" s="21">
        <v>32</v>
      </c>
      <c r="DC15" s="21">
        <v>71</v>
      </c>
      <c r="DE15" s="21">
        <v>39</v>
      </c>
      <c r="DF15" s="21">
        <v>75</v>
      </c>
      <c r="DH15" s="1">
        <v>43</v>
      </c>
      <c r="DI15" s="1">
        <v>80</v>
      </c>
      <c r="DJ15" s="13"/>
    </row>
    <row r="16" spans="1:114" ht="12.75" customHeight="1" x14ac:dyDescent="0.25">
      <c r="A16" s="12"/>
      <c r="B16" s="1" t="s">
        <v>4</v>
      </c>
      <c r="D16" s="1">
        <v>88</v>
      </c>
      <c r="E16" s="1">
        <v>90</v>
      </c>
      <c r="G16" s="1">
        <v>91</v>
      </c>
      <c r="H16" s="1">
        <v>93</v>
      </c>
      <c r="J16" s="1">
        <v>95</v>
      </c>
      <c r="K16" s="1">
        <v>101</v>
      </c>
      <c r="M16" s="1">
        <v>86</v>
      </c>
      <c r="N16" s="1">
        <v>91</v>
      </c>
      <c r="P16" s="1">
        <v>86</v>
      </c>
      <c r="Q16" s="1">
        <v>90</v>
      </c>
      <c r="S16" s="1">
        <v>84</v>
      </c>
      <c r="T16" s="1">
        <v>87</v>
      </c>
      <c r="V16" s="1">
        <v>76</v>
      </c>
      <c r="W16" s="1">
        <f>76+1+0</f>
        <v>77</v>
      </c>
      <c r="Y16" s="1">
        <v>80</v>
      </c>
      <c r="Z16" s="1">
        <f>80+2+1</f>
        <v>83</v>
      </c>
      <c r="AB16" s="1">
        <v>76</v>
      </c>
      <c r="AC16" s="1">
        <f>76+1+1</f>
        <v>78</v>
      </c>
      <c r="AE16" s="1">
        <v>81</v>
      </c>
      <c r="AF16" s="1">
        <f>81+0+1</f>
        <v>82</v>
      </c>
      <c r="AH16" s="1">
        <v>81</v>
      </c>
      <c r="AI16" s="1">
        <f>81+1+2</f>
        <v>84</v>
      </c>
      <c r="AK16" s="1">
        <v>82</v>
      </c>
      <c r="AL16" s="1">
        <f>82+2+3</f>
        <v>87</v>
      </c>
      <c r="AN16" s="1">
        <v>80</v>
      </c>
      <c r="AO16" s="1">
        <f>80+3+3</f>
        <v>86</v>
      </c>
      <c r="AQ16" s="1">
        <v>76</v>
      </c>
      <c r="AR16" s="1">
        <f>76+2+4</f>
        <v>82</v>
      </c>
      <c r="AT16" s="1">
        <v>67</v>
      </c>
      <c r="AU16" s="1">
        <f>67+3+6</f>
        <v>76</v>
      </c>
      <c r="AW16" s="1">
        <v>64</v>
      </c>
      <c r="AX16" s="1">
        <f>64+3+9</f>
        <v>76</v>
      </c>
      <c r="AZ16" s="1">
        <v>57</v>
      </c>
      <c r="BA16" s="1">
        <f>57+5+8</f>
        <v>70</v>
      </c>
      <c r="BC16" s="1">
        <v>56</v>
      </c>
      <c r="BD16" s="1">
        <f>56+8+7</f>
        <v>71</v>
      </c>
      <c r="BF16" s="1">
        <v>63</v>
      </c>
      <c r="BG16" s="1">
        <f>63+4+5</f>
        <v>72</v>
      </c>
      <c r="BI16" s="1">
        <v>67</v>
      </c>
      <c r="BJ16" s="1">
        <f>67+3+5</f>
        <v>75</v>
      </c>
      <c r="BL16" s="1">
        <v>70</v>
      </c>
      <c r="BM16" s="1">
        <f>70+2+14</f>
        <v>86</v>
      </c>
      <c r="BO16" s="1">
        <v>65</v>
      </c>
      <c r="BP16" s="1">
        <f>65+3+20</f>
        <v>88</v>
      </c>
      <c r="BR16" s="1">
        <v>65</v>
      </c>
      <c r="BS16" s="1">
        <f>65+3+17</f>
        <v>85</v>
      </c>
      <c r="BU16" s="1">
        <v>71</v>
      </c>
      <c r="BV16" s="1">
        <f>71+31+17</f>
        <v>119</v>
      </c>
      <c r="BX16" s="1">
        <v>69</v>
      </c>
      <c r="BY16" s="1">
        <f>69+1+19</f>
        <v>89</v>
      </c>
      <c r="CA16" s="1">
        <v>63</v>
      </c>
      <c r="CB16" s="1">
        <v>85</v>
      </c>
      <c r="CD16" s="1">
        <v>63</v>
      </c>
      <c r="CE16" s="1">
        <v>87</v>
      </c>
      <c r="CG16" s="1">
        <v>58</v>
      </c>
      <c r="CH16" s="1">
        <v>80</v>
      </c>
      <c r="CJ16" s="1">
        <v>55</v>
      </c>
      <c r="CK16" s="1">
        <v>80</v>
      </c>
      <c r="CM16" s="1">
        <v>50</v>
      </c>
      <c r="CN16" s="1">
        <v>75</v>
      </c>
      <c r="CP16" s="1">
        <v>45</v>
      </c>
      <c r="CQ16" s="1">
        <v>67</v>
      </c>
      <c r="CS16" s="1">
        <v>41</v>
      </c>
      <c r="CT16" s="1">
        <v>61</v>
      </c>
      <c r="CV16" s="1">
        <v>34</v>
      </c>
      <c r="CW16" s="1">
        <v>55</v>
      </c>
      <c r="CY16" s="1">
        <v>35</v>
      </c>
      <c r="CZ16" s="1">
        <v>61</v>
      </c>
      <c r="DB16" s="21">
        <v>34</v>
      </c>
      <c r="DC16" s="21">
        <v>64</v>
      </c>
      <c r="DE16" s="21">
        <v>34</v>
      </c>
      <c r="DF16" s="21">
        <v>58</v>
      </c>
      <c r="DH16" s="1">
        <v>35</v>
      </c>
      <c r="DI16" s="1">
        <v>60</v>
      </c>
      <c r="DJ16" s="13"/>
    </row>
    <row r="17" spans="1:114" ht="12.75" customHeight="1" thickBot="1" x14ac:dyDescent="0.3">
      <c r="A17" s="12"/>
      <c r="B17" s="1" t="s">
        <v>5</v>
      </c>
      <c r="D17" s="9">
        <v>119</v>
      </c>
      <c r="E17" s="9">
        <v>121</v>
      </c>
      <c r="G17" s="9">
        <v>121</v>
      </c>
      <c r="H17" s="9">
        <v>125</v>
      </c>
      <c r="J17" s="9">
        <v>129</v>
      </c>
      <c r="K17" s="9">
        <v>138</v>
      </c>
      <c r="M17" s="9">
        <v>114</v>
      </c>
      <c r="N17" s="9">
        <v>121</v>
      </c>
      <c r="P17" s="9">
        <v>115</v>
      </c>
      <c r="Q17" s="9">
        <v>123</v>
      </c>
      <c r="S17" s="9">
        <v>114</v>
      </c>
      <c r="T17" s="9">
        <v>119</v>
      </c>
      <c r="V17" s="9">
        <f t="shared" ref="V17:AO17" si="1">V15+V16</f>
        <v>107</v>
      </c>
      <c r="W17" s="9">
        <f t="shared" si="1"/>
        <v>111</v>
      </c>
      <c r="Y17" s="9">
        <f t="shared" si="1"/>
        <v>113</v>
      </c>
      <c r="Z17" s="9">
        <f t="shared" si="1"/>
        <v>130</v>
      </c>
      <c r="AB17" s="9">
        <f t="shared" si="1"/>
        <v>109</v>
      </c>
      <c r="AC17" s="9">
        <f t="shared" si="1"/>
        <v>123</v>
      </c>
      <c r="AE17" s="9">
        <f t="shared" si="1"/>
        <v>121</v>
      </c>
      <c r="AF17" s="9">
        <f t="shared" si="1"/>
        <v>132</v>
      </c>
      <c r="AH17" s="9">
        <f t="shared" si="1"/>
        <v>127</v>
      </c>
      <c r="AI17" s="9">
        <f t="shared" si="1"/>
        <v>141</v>
      </c>
      <c r="AK17" s="9">
        <f>AK15+AK16</f>
        <v>131</v>
      </c>
      <c r="AL17" s="9">
        <f>AL15+AL16</f>
        <v>147</v>
      </c>
      <c r="AN17" s="9">
        <f t="shared" si="1"/>
        <v>125</v>
      </c>
      <c r="AO17" s="9">
        <f t="shared" si="1"/>
        <v>140</v>
      </c>
      <c r="AQ17" s="9">
        <f>AQ15+AQ16</f>
        <v>117</v>
      </c>
      <c r="AR17" s="9">
        <f>AR15+AR16</f>
        <v>133</v>
      </c>
      <c r="AT17" s="9">
        <f>AT15+AT16</f>
        <v>106</v>
      </c>
      <c r="AU17" s="9">
        <f>AU15+AU16</f>
        <v>128</v>
      </c>
      <c r="AW17" s="9">
        <f>AW15+AW16</f>
        <v>100</v>
      </c>
      <c r="AX17" s="9">
        <f>AX15+AX16</f>
        <v>122</v>
      </c>
      <c r="AZ17" s="9">
        <f>AZ15+AZ16</f>
        <v>92</v>
      </c>
      <c r="BA17" s="9">
        <f>BA15+BA16</f>
        <v>117</v>
      </c>
      <c r="BC17" s="9">
        <f>BC15+BC16</f>
        <v>87</v>
      </c>
      <c r="BD17" s="9">
        <f>BD15+BD16</f>
        <v>116</v>
      </c>
      <c r="BF17" s="9">
        <f>BF15+BF16</f>
        <v>103</v>
      </c>
      <c r="BG17" s="9">
        <f>BG15+BG16</f>
        <v>120</v>
      </c>
      <c r="BI17" s="9">
        <f>BI15+BI16</f>
        <v>113</v>
      </c>
      <c r="BJ17" s="9">
        <f>BJ15+BJ16</f>
        <v>129</v>
      </c>
      <c r="BL17" s="9">
        <f>BL15+BL16</f>
        <v>121</v>
      </c>
      <c r="BM17" s="9">
        <f>BM15+BM16</f>
        <v>159</v>
      </c>
      <c r="BO17" s="9">
        <f>BO15+BO16</f>
        <v>114</v>
      </c>
      <c r="BP17" s="9">
        <f>BP15+BP16</f>
        <v>165</v>
      </c>
      <c r="BR17" s="9">
        <f>BR15+BR16</f>
        <v>113</v>
      </c>
      <c r="BS17" s="9">
        <f>BS15+BS16</f>
        <v>163</v>
      </c>
      <c r="BU17" s="9">
        <f>BU15+BU16</f>
        <v>128</v>
      </c>
      <c r="BV17" s="9">
        <f>BV15+BV16</f>
        <v>210</v>
      </c>
      <c r="BX17" s="9">
        <f>BX15+BX16</f>
        <v>131</v>
      </c>
      <c r="BY17" s="9">
        <f>BY15+BY16</f>
        <v>188</v>
      </c>
      <c r="CA17" s="9">
        <f>CA15+CA16</f>
        <v>126</v>
      </c>
      <c r="CB17" s="9">
        <f>CB15+CB16</f>
        <v>180</v>
      </c>
      <c r="CD17" s="9">
        <f>CD15+CD16</f>
        <v>130</v>
      </c>
      <c r="CE17" s="9">
        <f>CE15+CE16</f>
        <v>188</v>
      </c>
      <c r="CG17" s="9">
        <f>CG15+CG16</f>
        <v>120</v>
      </c>
      <c r="CH17" s="9">
        <f>CH15+CH16</f>
        <v>172</v>
      </c>
      <c r="CJ17" s="9">
        <f>CJ15+CJ16</f>
        <v>114</v>
      </c>
      <c r="CK17" s="9">
        <f>CK15+CK16</f>
        <v>173</v>
      </c>
      <c r="CM17" s="9">
        <f>CM15+CM16</f>
        <v>99</v>
      </c>
      <c r="CN17" s="9">
        <f>CN15+CN16</f>
        <v>154</v>
      </c>
      <c r="CP17" s="9">
        <f>CP15+CP16</f>
        <v>93</v>
      </c>
      <c r="CQ17" s="9">
        <f>CQ15+CQ16</f>
        <v>148</v>
      </c>
      <c r="CS17" s="9">
        <v>84</v>
      </c>
      <c r="CT17" s="9">
        <v>137</v>
      </c>
      <c r="CV17" s="9">
        <v>73</v>
      </c>
      <c r="CW17" s="9">
        <v>124</v>
      </c>
      <c r="CY17" s="9">
        <v>72</v>
      </c>
      <c r="CZ17" s="9">
        <v>132</v>
      </c>
      <c r="DB17" s="28">
        <v>66</v>
      </c>
      <c r="DC17" s="28">
        <v>135</v>
      </c>
      <c r="DE17" s="28">
        <v>73</v>
      </c>
      <c r="DF17" s="28">
        <v>133</v>
      </c>
      <c r="DH17" s="9">
        <v>78</v>
      </c>
      <c r="DI17" s="9">
        <v>140</v>
      </c>
      <c r="DJ17" s="13"/>
    </row>
    <row r="18" spans="1:114" ht="12.75" customHeight="1" thickTop="1" x14ac:dyDescent="0.25">
      <c r="A18" s="12"/>
      <c r="DB18" s="21"/>
      <c r="DC18" s="21"/>
      <c r="DE18" s="21"/>
      <c r="DF18" s="21"/>
      <c r="DJ18" s="13"/>
    </row>
    <row r="19" spans="1:114" ht="12.75" customHeight="1" x14ac:dyDescent="0.25">
      <c r="A19" s="12"/>
      <c r="B19" s="17" t="s">
        <v>7</v>
      </c>
      <c r="C19" s="17"/>
      <c r="DB19" s="21"/>
      <c r="DC19" s="21"/>
      <c r="DE19" s="21"/>
      <c r="DF19" s="21"/>
      <c r="DJ19" s="13"/>
    </row>
    <row r="20" spans="1:114" ht="12.75" customHeight="1" x14ac:dyDescent="0.25">
      <c r="A20" s="12"/>
      <c r="B20" s="1" t="s">
        <v>3</v>
      </c>
      <c r="D20" s="1">
        <v>3</v>
      </c>
      <c r="E20" s="1">
        <v>30</v>
      </c>
      <c r="G20" s="1">
        <v>3</v>
      </c>
      <c r="H20" s="1">
        <v>30</v>
      </c>
      <c r="J20" s="1">
        <v>2</v>
      </c>
      <c r="K20" s="1">
        <v>33</v>
      </c>
      <c r="M20" s="1">
        <v>2</v>
      </c>
      <c r="N20" s="1">
        <v>40</v>
      </c>
      <c r="P20" s="1">
        <v>2</v>
      </c>
      <c r="Q20" s="1">
        <v>49</v>
      </c>
      <c r="S20" s="1">
        <v>2</v>
      </c>
      <c r="T20" s="1">
        <v>56</v>
      </c>
      <c r="V20" s="1">
        <v>2</v>
      </c>
      <c r="W20" s="1">
        <f>2+40+10</f>
        <v>52</v>
      </c>
      <c r="Y20" s="1">
        <v>2</v>
      </c>
      <c r="Z20" s="1">
        <f>2+45+28</f>
        <v>75</v>
      </c>
      <c r="AB20" s="1">
        <v>2</v>
      </c>
      <c r="AC20" s="1">
        <f>2+38+25</f>
        <v>65</v>
      </c>
      <c r="AE20" s="1">
        <v>1</v>
      </c>
      <c r="AF20" s="1">
        <f>1+38+26</f>
        <v>65</v>
      </c>
      <c r="AH20" s="1">
        <v>1</v>
      </c>
      <c r="AI20" s="1">
        <f>1+29+27</f>
        <v>57</v>
      </c>
      <c r="AK20" s="1">
        <v>0</v>
      </c>
      <c r="AL20" s="1">
        <f>0+22+17</f>
        <v>39</v>
      </c>
      <c r="AN20" s="1">
        <v>0</v>
      </c>
      <c r="AO20" s="1">
        <f>0+32+16</f>
        <v>48</v>
      </c>
      <c r="AQ20" s="1">
        <v>0</v>
      </c>
      <c r="AR20" s="1">
        <f>0+30+21</f>
        <v>51</v>
      </c>
      <c r="AT20" s="1">
        <v>0</v>
      </c>
      <c r="AU20" s="1">
        <f>0+28+16</f>
        <v>44</v>
      </c>
      <c r="AW20" s="1">
        <v>0</v>
      </c>
      <c r="AX20" s="1">
        <f>0+31+16</f>
        <v>47</v>
      </c>
      <c r="AZ20" s="1">
        <v>0</v>
      </c>
      <c r="BA20" s="1">
        <f>0+42+19</f>
        <v>61</v>
      </c>
      <c r="BC20" s="1">
        <v>0</v>
      </c>
      <c r="BD20" s="1">
        <f>46+23</f>
        <v>69</v>
      </c>
      <c r="BF20" s="1">
        <v>0</v>
      </c>
      <c r="BG20" s="1">
        <f>0+48+22</f>
        <v>70</v>
      </c>
      <c r="BI20" s="1">
        <v>0</v>
      </c>
      <c r="BJ20" s="1">
        <f>50+24</f>
        <v>74</v>
      </c>
      <c r="BL20" s="1">
        <v>0</v>
      </c>
      <c r="BM20" s="1">
        <f>51+40</f>
        <v>91</v>
      </c>
      <c r="BO20" s="1">
        <v>0</v>
      </c>
      <c r="BP20" s="1">
        <f>50+37</f>
        <v>87</v>
      </c>
      <c r="BR20" s="1">
        <v>0</v>
      </c>
      <c r="BS20" s="1">
        <f>47+44</f>
        <v>91</v>
      </c>
      <c r="BU20" s="1">
        <v>0</v>
      </c>
      <c r="BV20" s="1">
        <f>41+53</f>
        <v>94</v>
      </c>
      <c r="BX20" s="1">
        <v>0</v>
      </c>
      <c r="BY20" s="1">
        <f>32+59</f>
        <v>91</v>
      </c>
      <c r="CA20" s="1">
        <v>0</v>
      </c>
      <c r="CB20" s="1">
        <f>32+59</f>
        <v>91</v>
      </c>
      <c r="CD20" s="1">
        <v>0</v>
      </c>
      <c r="CE20" s="1">
        <v>78</v>
      </c>
      <c r="CG20" s="1">
        <v>0</v>
      </c>
      <c r="CH20" s="1">
        <v>86</v>
      </c>
      <c r="CJ20" s="1">
        <v>0</v>
      </c>
      <c r="CK20" s="1">
        <v>82</v>
      </c>
      <c r="CM20" s="1">
        <v>0</v>
      </c>
      <c r="CN20" s="1">
        <v>94</v>
      </c>
      <c r="CP20" s="1">
        <v>0</v>
      </c>
      <c r="CQ20" s="1">
        <v>105</v>
      </c>
      <c r="CS20" s="1">
        <v>0</v>
      </c>
      <c r="CT20" s="1">
        <v>110</v>
      </c>
      <c r="CV20" s="1">
        <v>0</v>
      </c>
      <c r="CW20" s="1">
        <v>104</v>
      </c>
      <c r="CY20" s="1">
        <v>0</v>
      </c>
      <c r="CZ20" s="1">
        <v>99</v>
      </c>
      <c r="DB20" s="21">
        <v>0</v>
      </c>
      <c r="DC20" s="21">
        <v>85</v>
      </c>
      <c r="DE20" s="21">
        <v>0</v>
      </c>
      <c r="DF20" s="21">
        <v>81</v>
      </c>
      <c r="DH20" s="1">
        <v>0</v>
      </c>
      <c r="DI20" s="1">
        <v>80</v>
      </c>
      <c r="DJ20" s="13"/>
    </row>
    <row r="21" spans="1:114" ht="12.75" customHeight="1" x14ac:dyDescent="0.25">
      <c r="A21" s="12"/>
      <c r="B21" s="1" t="s">
        <v>4</v>
      </c>
      <c r="D21" s="1">
        <v>11</v>
      </c>
      <c r="E21" s="1">
        <v>67</v>
      </c>
      <c r="G21" s="1">
        <v>10</v>
      </c>
      <c r="H21" s="1">
        <v>65</v>
      </c>
      <c r="J21" s="1">
        <v>10</v>
      </c>
      <c r="K21" s="1">
        <v>64</v>
      </c>
      <c r="M21" s="1">
        <v>9</v>
      </c>
      <c r="N21" s="1">
        <v>68</v>
      </c>
      <c r="P21" s="1">
        <v>9</v>
      </c>
      <c r="Q21" s="1">
        <v>84</v>
      </c>
      <c r="S21" s="1">
        <v>7</v>
      </c>
      <c r="T21" s="1">
        <v>71</v>
      </c>
      <c r="V21" s="1">
        <v>7</v>
      </c>
      <c r="W21" s="1">
        <f>7+57+10</f>
        <v>74</v>
      </c>
      <c r="Y21" s="1">
        <v>7</v>
      </c>
      <c r="Z21" s="1">
        <f>7+49+11</f>
        <v>67</v>
      </c>
      <c r="AB21" s="1">
        <v>7</v>
      </c>
      <c r="AC21" s="1">
        <f>7+50+9</f>
        <v>66</v>
      </c>
      <c r="AE21" s="1">
        <v>7</v>
      </c>
      <c r="AF21" s="1">
        <f>7+44+10</f>
        <v>61</v>
      </c>
      <c r="AH21" s="1">
        <v>4</v>
      </c>
      <c r="AI21" s="1">
        <f>4+38+10</f>
        <v>52</v>
      </c>
      <c r="AK21" s="1">
        <v>3</v>
      </c>
      <c r="AL21" s="1">
        <f>3+34+12</f>
        <v>49</v>
      </c>
      <c r="AN21" s="1">
        <v>1</v>
      </c>
      <c r="AO21" s="1">
        <f>1+28+12</f>
        <v>41</v>
      </c>
      <c r="AQ21" s="1">
        <v>1</v>
      </c>
      <c r="AR21" s="1">
        <f>1+33+12</f>
        <v>46</v>
      </c>
      <c r="AT21" s="1">
        <v>1</v>
      </c>
      <c r="AU21" s="1">
        <f>1+30+12</f>
        <v>43</v>
      </c>
      <c r="AW21" s="1">
        <v>1</v>
      </c>
      <c r="AX21" s="1">
        <f>1+31+15</f>
        <v>47</v>
      </c>
      <c r="AZ21" s="1">
        <v>1</v>
      </c>
      <c r="BA21" s="1">
        <f>1+37+10</f>
        <v>48</v>
      </c>
      <c r="BC21" s="1">
        <v>1</v>
      </c>
      <c r="BD21" s="1">
        <f>1+35+17</f>
        <v>53</v>
      </c>
      <c r="BF21" s="1">
        <v>1</v>
      </c>
      <c r="BG21" s="1">
        <f>1+32+20</f>
        <v>53</v>
      </c>
      <c r="BI21" s="1">
        <v>0</v>
      </c>
      <c r="BJ21" s="1">
        <f>37+15</f>
        <v>52</v>
      </c>
      <c r="BL21" s="1">
        <v>0</v>
      </c>
      <c r="BM21" s="1">
        <f>37+19</f>
        <v>56</v>
      </c>
      <c r="BO21" s="1">
        <v>0</v>
      </c>
      <c r="BP21" s="1">
        <f>34+21</f>
        <v>55</v>
      </c>
      <c r="BR21" s="1">
        <v>0</v>
      </c>
      <c r="BS21" s="1">
        <f>37+19</f>
        <v>56</v>
      </c>
      <c r="BU21" s="1">
        <v>0</v>
      </c>
      <c r="BV21" s="1">
        <v>20</v>
      </c>
      <c r="BX21" s="1">
        <v>0</v>
      </c>
      <c r="BY21" s="1">
        <f>24+22</f>
        <v>46</v>
      </c>
      <c r="CA21" s="1">
        <v>0</v>
      </c>
      <c r="CB21" s="1">
        <v>51</v>
      </c>
      <c r="CD21" s="1">
        <v>0</v>
      </c>
      <c r="CE21" s="1">
        <v>46</v>
      </c>
      <c r="CG21" s="1">
        <v>0</v>
      </c>
      <c r="CH21" s="1">
        <v>52</v>
      </c>
      <c r="CJ21" s="1">
        <v>0</v>
      </c>
      <c r="CK21" s="1">
        <v>50</v>
      </c>
      <c r="CM21" s="1">
        <v>0</v>
      </c>
      <c r="CN21" s="1">
        <v>49</v>
      </c>
      <c r="CP21" s="1">
        <v>0</v>
      </c>
      <c r="CQ21" s="1">
        <v>55</v>
      </c>
      <c r="CS21" s="1">
        <v>0</v>
      </c>
      <c r="CT21" s="1">
        <v>51</v>
      </c>
      <c r="CV21" s="1">
        <v>0</v>
      </c>
      <c r="CW21" s="1">
        <v>53</v>
      </c>
      <c r="CY21" s="1">
        <v>0</v>
      </c>
      <c r="CZ21" s="1">
        <v>46</v>
      </c>
      <c r="DB21" s="21">
        <v>0</v>
      </c>
      <c r="DC21" s="21">
        <v>37</v>
      </c>
      <c r="DE21" s="21">
        <v>0</v>
      </c>
      <c r="DF21" s="21">
        <v>39</v>
      </c>
      <c r="DH21" s="1">
        <v>0</v>
      </c>
      <c r="DI21" s="1">
        <v>36</v>
      </c>
      <c r="DJ21" s="13"/>
    </row>
    <row r="22" spans="1:114" ht="12.75" customHeight="1" thickBot="1" x14ac:dyDescent="0.3">
      <c r="A22" s="12"/>
      <c r="B22" s="1" t="s">
        <v>5</v>
      </c>
      <c r="D22" s="9">
        <v>14</v>
      </c>
      <c r="E22" s="9">
        <v>97</v>
      </c>
      <c r="G22" s="9">
        <v>13</v>
      </c>
      <c r="H22" s="9">
        <v>95</v>
      </c>
      <c r="J22" s="9">
        <v>12</v>
      </c>
      <c r="K22" s="9">
        <v>97</v>
      </c>
      <c r="M22" s="9">
        <v>11</v>
      </c>
      <c r="N22" s="9">
        <v>108</v>
      </c>
      <c r="P22" s="9">
        <v>11</v>
      </c>
      <c r="Q22" s="9">
        <v>133</v>
      </c>
      <c r="S22" s="9">
        <v>9</v>
      </c>
      <c r="T22" s="9">
        <v>127</v>
      </c>
      <c r="V22" s="9">
        <f t="shared" ref="V22:AO22" si="2">V20+V21</f>
        <v>9</v>
      </c>
      <c r="W22" s="9">
        <f t="shared" si="2"/>
        <v>126</v>
      </c>
      <c r="Y22" s="9">
        <f t="shared" si="2"/>
        <v>9</v>
      </c>
      <c r="Z22" s="9">
        <f t="shared" si="2"/>
        <v>142</v>
      </c>
      <c r="AB22" s="9">
        <f t="shared" si="2"/>
        <v>9</v>
      </c>
      <c r="AC22" s="9">
        <f t="shared" si="2"/>
        <v>131</v>
      </c>
      <c r="AE22" s="9">
        <f t="shared" si="2"/>
        <v>8</v>
      </c>
      <c r="AF22" s="9">
        <f t="shared" si="2"/>
        <v>126</v>
      </c>
      <c r="AH22" s="9">
        <f t="shared" si="2"/>
        <v>5</v>
      </c>
      <c r="AI22" s="9">
        <f t="shared" si="2"/>
        <v>109</v>
      </c>
      <c r="AK22" s="9">
        <f>AK20+AK21</f>
        <v>3</v>
      </c>
      <c r="AL22" s="9">
        <f>AL20+AL21</f>
        <v>88</v>
      </c>
      <c r="AN22" s="9">
        <f t="shared" si="2"/>
        <v>1</v>
      </c>
      <c r="AO22" s="9">
        <f t="shared" si="2"/>
        <v>89</v>
      </c>
      <c r="AQ22" s="9">
        <f>AQ20+AQ21</f>
        <v>1</v>
      </c>
      <c r="AR22" s="9">
        <f>AR20+AR21</f>
        <v>97</v>
      </c>
      <c r="AT22" s="9">
        <f>AT20+AT21</f>
        <v>1</v>
      </c>
      <c r="AU22" s="9">
        <f>AU20+AU21</f>
        <v>87</v>
      </c>
      <c r="AW22" s="9">
        <f>AW20+AW21</f>
        <v>1</v>
      </c>
      <c r="AX22" s="9">
        <f>AX20+AX21</f>
        <v>94</v>
      </c>
      <c r="AZ22" s="9">
        <f>AZ20+AZ21</f>
        <v>1</v>
      </c>
      <c r="BA22" s="9">
        <f>BA20+BA21</f>
        <v>109</v>
      </c>
      <c r="BC22" s="9">
        <f>BC20+BC21</f>
        <v>1</v>
      </c>
      <c r="BD22" s="9">
        <f>BD20+BD21</f>
        <v>122</v>
      </c>
      <c r="BF22" s="9">
        <f>BF20+BF21</f>
        <v>1</v>
      </c>
      <c r="BG22" s="9">
        <f>BG20+BG21</f>
        <v>123</v>
      </c>
      <c r="BI22" s="9">
        <f>BI20+BI21</f>
        <v>0</v>
      </c>
      <c r="BJ22" s="9">
        <f>BJ20+BJ21</f>
        <v>126</v>
      </c>
      <c r="BL22" s="9">
        <f>BL20+BL21</f>
        <v>0</v>
      </c>
      <c r="BM22" s="9">
        <f>BM20+BM21</f>
        <v>147</v>
      </c>
      <c r="BO22" s="9">
        <f>BO20+BO21</f>
        <v>0</v>
      </c>
      <c r="BP22" s="9">
        <f>BP20+BP21</f>
        <v>142</v>
      </c>
      <c r="BR22" s="9">
        <f>BR20+BR21</f>
        <v>0</v>
      </c>
      <c r="BS22" s="9">
        <f>BS20+BS21</f>
        <v>147</v>
      </c>
      <c r="BU22" s="9">
        <f>BU20+BU21</f>
        <v>0</v>
      </c>
      <c r="BV22" s="9">
        <f>BV20+BV21</f>
        <v>114</v>
      </c>
      <c r="BX22" s="9">
        <f>BX20+BX21</f>
        <v>0</v>
      </c>
      <c r="BY22" s="9">
        <f>BY20+BY21</f>
        <v>137</v>
      </c>
      <c r="CA22" s="9">
        <f>CA20+CA21</f>
        <v>0</v>
      </c>
      <c r="CB22" s="9">
        <f>CB20+CB21</f>
        <v>142</v>
      </c>
      <c r="CD22" s="9">
        <f>CD20+CD21</f>
        <v>0</v>
      </c>
      <c r="CE22" s="9">
        <f>CE20+CE21</f>
        <v>124</v>
      </c>
      <c r="CG22" s="9">
        <f>CG20+CG21</f>
        <v>0</v>
      </c>
      <c r="CH22" s="9">
        <f>CH20+CH21</f>
        <v>138</v>
      </c>
      <c r="CJ22" s="9">
        <f>CJ20+CJ21</f>
        <v>0</v>
      </c>
      <c r="CK22" s="9">
        <f>CK20+CK21</f>
        <v>132</v>
      </c>
      <c r="CM22" s="9">
        <f>CM20+CM21</f>
        <v>0</v>
      </c>
      <c r="CN22" s="9">
        <f>CN20+CN21</f>
        <v>143</v>
      </c>
      <c r="CP22" s="9">
        <f>CP20+CP21</f>
        <v>0</v>
      </c>
      <c r="CQ22" s="9">
        <f>CQ20+CQ21</f>
        <v>160</v>
      </c>
      <c r="CS22" s="9">
        <f>CS20+CS21</f>
        <v>0</v>
      </c>
      <c r="CT22" s="9">
        <v>161</v>
      </c>
      <c r="CV22" s="9">
        <f>CV20+CV21</f>
        <v>0</v>
      </c>
      <c r="CW22" s="9">
        <v>157</v>
      </c>
      <c r="CY22" s="9">
        <f>CY20+CY21</f>
        <v>0</v>
      </c>
      <c r="CZ22" s="9">
        <v>145</v>
      </c>
      <c r="DB22" s="28">
        <v>0</v>
      </c>
      <c r="DC22" s="28">
        <v>122</v>
      </c>
      <c r="DE22" s="28">
        <v>0</v>
      </c>
      <c r="DF22" s="28">
        <v>120</v>
      </c>
      <c r="DH22" s="9">
        <f>DH20+DH21</f>
        <v>0</v>
      </c>
      <c r="DI22" s="9">
        <v>116</v>
      </c>
      <c r="DJ22" s="13"/>
    </row>
    <row r="23" spans="1:114" ht="12.75" customHeight="1" thickTop="1" x14ac:dyDescent="0.25">
      <c r="A23" s="12"/>
      <c r="DB23" s="21"/>
      <c r="DC23" s="21"/>
      <c r="DE23" s="21"/>
      <c r="DF23" s="21"/>
      <c r="DJ23" s="13"/>
    </row>
    <row r="24" spans="1:114" ht="12.75" customHeight="1" x14ac:dyDescent="0.25">
      <c r="A24" s="12"/>
      <c r="B24" s="17" t="s">
        <v>8</v>
      </c>
      <c r="C24" s="17"/>
      <c r="DB24" s="21"/>
      <c r="DC24" s="21"/>
      <c r="DE24" s="21"/>
      <c r="DF24" s="21"/>
      <c r="DJ24" s="13"/>
    </row>
    <row r="25" spans="1:114" ht="12.75" customHeight="1" x14ac:dyDescent="0.25">
      <c r="A25" s="12"/>
      <c r="B25" s="1" t="s">
        <v>3</v>
      </c>
      <c r="D25" s="1">
        <v>1</v>
      </c>
      <c r="E25" s="1">
        <v>2</v>
      </c>
      <c r="G25" s="1">
        <v>0</v>
      </c>
      <c r="H25" s="1">
        <v>1</v>
      </c>
      <c r="J25" s="1">
        <v>0</v>
      </c>
      <c r="K25" s="1">
        <v>3</v>
      </c>
      <c r="M25" s="1">
        <v>0</v>
      </c>
      <c r="N25" s="1">
        <v>4</v>
      </c>
      <c r="P25" s="1">
        <v>0</v>
      </c>
      <c r="Q25" s="1">
        <v>2</v>
      </c>
      <c r="S25" s="1">
        <v>0</v>
      </c>
      <c r="T25" s="1">
        <v>1</v>
      </c>
      <c r="V25" s="1">
        <v>0</v>
      </c>
      <c r="W25" s="1">
        <f>0+0+1</f>
        <v>1</v>
      </c>
      <c r="Y25" s="1">
        <v>0</v>
      </c>
      <c r="Z25" s="1">
        <f>0+2+5</f>
        <v>7</v>
      </c>
      <c r="AB25" s="1">
        <v>0</v>
      </c>
      <c r="AC25" s="1">
        <f>0+1+8</f>
        <v>9</v>
      </c>
      <c r="AE25" s="1">
        <v>0</v>
      </c>
      <c r="AF25" s="1">
        <f>0+1+8</f>
        <v>9</v>
      </c>
      <c r="AH25" s="1">
        <v>0</v>
      </c>
      <c r="AI25" s="1">
        <f>0+1+7</f>
        <v>8</v>
      </c>
      <c r="AK25" s="1">
        <v>0</v>
      </c>
      <c r="AL25" s="1">
        <f>0+2+3</f>
        <v>5</v>
      </c>
      <c r="AN25" s="1">
        <v>0</v>
      </c>
      <c r="AO25" s="1">
        <f>0+0+2</f>
        <v>2</v>
      </c>
      <c r="AQ25" s="1">
        <v>0</v>
      </c>
      <c r="AR25" s="1">
        <f>0+0+0</f>
        <v>0</v>
      </c>
      <c r="AT25" s="1">
        <v>0</v>
      </c>
      <c r="AU25" s="1">
        <v>0</v>
      </c>
      <c r="AW25" s="1">
        <v>0</v>
      </c>
      <c r="AX25" s="1">
        <f>0+0+0</f>
        <v>0</v>
      </c>
      <c r="AZ25" s="1">
        <v>0</v>
      </c>
      <c r="BA25" s="1">
        <f>0+0+2</f>
        <v>2</v>
      </c>
      <c r="BC25" s="1">
        <v>0</v>
      </c>
      <c r="BD25" s="1">
        <f>0+0+4</f>
        <v>4</v>
      </c>
      <c r="BF25" s="1">
        <v>0</v>
      </c>
      <c r="BG25" s="1">
        <v>6</v>
      </c>
      <c r="BI25" s="1">
        <v>0</v>
      </c>
      <c r="BJ25" s="1">
        <v>7</v>
      </c>
      <c r="BL25" s="1">
        <v>0</v>
      </c>
      <c r="BM25" s="1">
        <v>1</v>
      </c>
      <c r="BO25" s="1">
        <v>0</v>
      </c>
      <c r="BP25" s="1">
        <v>0</v>
      </c>
      <c r="BR25" s="1">
        <v>0</v>
      </c>
      <c r="BS25" s="1">
        <v>0</v>
      </c>
      <c r="BU25" s="1">
        <v>0</v>
      </c>
      <c r="BV25" s="1">
        <v>0</v>
      </c>
      <c r="BX25" s="1">
        <v>0</v>
      </c>
      <c r="BY25" s="1">
        <v>0</v>
      </c>
      <c r="CA25" s="1">
        <v>0</v>
      </c>
      <c r="CB25" s="1">
        <v>0</v>
      </c>
      <c r="CD25" s="1">
        <v>0</v>
      </c>
      <c r="CE25" s="1">
        <v>2</v>
      </c>
      <c r="CG25" s="1">
        <v>0</v>
      </c>
      <c r="CH25" s="1">
        <v>0</v>
      </c>
      <c r="CJ25" s="1">
        <v>0</v>
      </c>
      <c r="CK25" s="1">
        <v>0</v>
      </c>
      <c r="CM25" s="1">
        <v>0</v>
      </c>
      <c r="CN25" s="1">
        <v>0</v>
      </c>
      <c r="CP25" s="1">
        <v>0</v>
      </c>
      <c r="CQ25" s="1">
        <v>0</v>
      </c>
      <c r="CS25" s="1">
        <v>0</v>
      </c>
      <c r="CT25" s="1">
        <v>0</v>
      </c>
      <c r="CV25" s="1">
        <v>0</v>
      </c>
      <c r="CW25" s="1">
        <v>0</v>
      </c>
      <c r="CY25" s="1">
        <v>0</v>
      </c>
      <c r="CZ25" s="1">
        <v>0</v>
      </c>
      <c r="DB25" s="21">
        <v>0</v>
      </c>
      <c r="DC25" s="21">
        <v>0</v>
      </c>
      <c r="DE25" s="21">
        <v>0</v>
      </c>
      <c r="DF25" s="21">
        <v>0</v>
      </c>
      <c r="DH25" s="1">
        <v>0</v>
      </c>
      <c r="DI25" s="1">
        <v>1</v>
      </c>
      <c r="DJ25" s="13"/>
    </row>
    <row r="26" spans="1:114" ht="12.75" customHeight="1" x14ac:dyDescent="0.25">
      <c r="A26" s="12"/>
      <c r="B26" s="1" t="s">
        <v>4</v>
      </c>
      <c r="D26" s="1">
        <v>0</v>
      </c>
      <c r="E26" s="1">
        <v>5</v>
      </c>
      <c r="G26" s="1">
        <v>0</v>
      </c>
      <c r="H26" s="1">
        <v>4</v>
      </c>
      <c r="J26" s="1">
        <v>0</v>
      </c>
      <c r="K26" s="1">
        <v>5</v>
      </c>
      <c r="M26" s="1">
        <v>0</v>
      </c>
      <c r="N26" s="1">
        <v>7</v>
      </c>
      <c r="P26" s="1">
        <v>0</v>
      </c>
      <c r="Q26" s="1">
        <v>8</v>
      </c>
      <c r="S26" s="1">
        <v>0</v>
      </c>
      <c r="T26" s="1">
        <v>4</v>
      </c>
      <c r="V26" s="1">
        <v>0</v>
      </c>
      <c r="W26" s="1">
        <f>0+0+4</f>
        <v>4</v>
      </c>
      <c r="Y26" s="1">
        <v>0</v>
      </c>
      <c r="Z26" s="1">
        <f>0+0+5</f>
        <v>5</v>
      </c>
      <c r="AB26" s="1">
        <v>0</v>
      </c>
      <c r="AC26" s="1">
        <f>0+0+4</f>
        <v>4</v>
      </c>
      <c r="AE26" s="1">
        <v>0</v>
      </c>
      <c r="AF26" s="1">
        <f>0+0+4</f>
        <v>4</v>
      </c>
      <c r="AH26" s="1">
        <v>0</v>
      </c>
      <c r="AI26" s="1">
        <f>0+0+4</f>
        <v>4</v>
      </c>
      <c r="AK26" s="1">
        <v>0</v>
      </c>
      <c r="AL26" s="1">
        <f>0+0+4</f>
        <v>4</v>
      </c>
      <c r="AN26" s="1">
        <v>0</v>
      </c>
      <c r="AO26" s="1">
        <f>0+0+3</f>
        <v>3</v>
      </c>
      <c r="AQ26" s="1">
        <v>0</v>
      </c>
      <c r="AR26" s="1">
        <f>0+0+3</f>
        <v>3</v>
      </c>
      <c r="AT26" s="1">
        <v>0</v>
      </c>
      <c r="AU26" s="1">
        <v>2</v>
      </c>
      <c r="AW26" s="1">
        <v>0</v>
      </c>
      <c r="AX26" s="1">
        <f>0+0+2</f>
        <v>2</v>
      </c>
      <c r="AZ26" s="1">
        <v>0</v>
      </c>
      <c r="BA26" s="1">
        <f>0+0+2</f>
        <v>2</v>
      </c>
      <c r="BC26" s="1">
        <v>0</v>
      </c>
      <c r="BD26" s="1">
        <f>0+0+2</f>
        <v>2</v>
      </c>
      <c r="BF26" s="1">
        <v>0</v>
      </c>
      <c r="BG26" s="1">
        <v>2</v>
      </c>
      <c r="BI26" s="1">
        <v>0</v>
      </c>
      <c r="BJ26" s="1">
        <v>3</v>
      </c>
      <c r="BL26" s="1">
        <v>0</v>
      </c>
      <c r="BM26" s="1">
        <v>5</v>
      </c>
      <c r="BO26" s="1">
        <v>0</v>
      </c>
      <c r="BP26" s="1">
        <v>2</v>
      </c>
      <c r="BR26" s="1">
        <v>0</v>
      </c>
      <c r="BS26" s="1">
        <v>2</v>
      </c>
      <c r="BU26" s="1">
        <v>0</v>
      </c>
      <c r="BV26" s="1">
        <v>1</v>
      </c>
      <c r="BX26" s="1">
        <v>0</v>
      </c>
      <c r="BY26" s="1">
        <v>1</v>
      </c>
      <c r="CA26" s="1">
        <v>0</v>
      </c>
      <c r="CB26" s="1">
        <v>3</v>
      </c>
      <c r="CD26" s="1">
        <v>0</v>
      </c>
      <c r="CE26" s="1">
        <v>1</v>
      </c>
      <c r="CG26" s="1">
        <v>0</v>
      </c>
      <c r="CH26" s="1">
        <v>1</v>
      </c>
      <c r="CJ26" s="1">
        <v>0</v>
      </c>
      <c r="CK26" s="1">
        <v>2</v>
      </c>
      <c r="CM26" s="1">
        <v>0</v>
      </c>
      <c r="CN26" s="1">
        <v>1</v>
      </c>
      <c r="CP26" s="1">
        <v>0</v>
      </c>
      <c r="CQ26" s="1">
        <v>0</v>
      </c>
      <c r="CS26" s="1">
        <v>0</v>
      </c>
      <c r="CT26" s="1">
        <v>0</v>
      </c>
      <c r="CV26" s="1">
        <v>0</v>
      </c>
      <c r="CW26" s="1">
        <v>0</v>
      </c>
      <c r="CY26" s="1">
        <v>0</v>
      </c>
      <c r="CZ26" s="1">
        <v>0</v>
      </c>
      <c r="DB26" s="21">
        <v>0</v>
      </c>
      <c r="DC26" s="21">
        <v>0</v>
      </c>
      <c r="DE26" s="21">
        <v>0</v>
      </c>
      <c r="DF26" s="21">
        <v>0</v>
      </c>
      <c r="DH26" s="1">
        <v>0</v>
      </c>
      <c r="DI26" s="1">
        <v>1</v>
      </c>
      <c r="DJ26" s="13"/>
    </row>
    <row r="27" spans="1:114" ht="12.75" customHeight="1" thickBot="1" x14ac:dyDescent="0.3">
      <c r="A27" s="12"/>
      <c r="B27" s="1" t="s">
        <v>5</v>
      </c>
      <c r="D27" s="9">
        <v>1</v>
      </c>
      <c r="E27" s="9">
        <v>7</v>
      </c>
      <c r="G27" s="9">
        <v>0</v>
      </c>
      <c r="H27" s="9">
        <v>5</v>
      </c>
      <c r="J27" s="9">
        <v>0</v>
      </c>
      <c r="K27" s="9">
        <v>8</v>
      </c>
      <c r="M27" s="9">
        <v>0</v>
      </c>
      <c r="N27" s="9">
        <v>11</v>
      </c>
      <c r="P27" s="9">
        <v>0</v>
      </c>
      <c r="Q27" s="9">
        <v>10</v>
      </c>
      <c r="S27" s="9">
        <v>0</v>
      </c>
      <c r="T27" s="9">
        <v>5</v>
      </c>
      <c r="V27" s="9">
        <f t="shared" ref="V27:AO27" si="3">V25+V26</f>
        <v>0</v>
      </c>
      <c r="W27" s="9">
        <f t="shared" si="3"/>
        <v>5</v>
      </c>
      <c r="Y27" s="9">
        <f t="shared" si="3"/>
        <v>0</v>
      </c>
      <c r="Z27" s="9">
        <f t="shared" si="3"/>
        <v>12</v>
      </c>
      <c r="AB27" s="9">
        <f t="shared" si="3"/>
        <v>0</v>
      </c>
      <c r="AC27" s="9">
        <f t="shared" si="3"/>
        <v>13</v>
      </c>
      <c r="AE27" s="9">
        <f t="shared" si="3"/>
        <v>0</v>
      </c>
      <c r="AF27" s="9">
        <f t="shared" si="3"/>
        <v>13</v>
      </c>
      <c r="AH27" s="9">
        <f t="shared" si="3"/>
        <v>0</v>
      </c>
      <c r="AI27" s="9">
        <f t="shared" si="3"/>
        <v>12</v>
      </c>
      <c r="AK27" s="9">
        <f>AK25+AK26</f>
        <v>0</v>
      </c>
      <c r="AL27" s="9">
        <f>AL25+AL26</f>
        <v>9</v>
      </c>
      <c r="AN27" s="9">
        <f t="shared" si="3"/>
        <v>0</v>
      </c>
      <c r="AO27" s="9">
        <f t="shared" si="3"/>
        <v>5</v>
      </c>
      <c r="AQ27" s="9">
        <f>AQ25+AQ26</f>
        <v>0</v>
      </c>
      <c r="AR27" s="9">
        <f>AR25+AR26</f>
        <v>3</v>
      </c>
      <c r="AT27" s="9">
        <f>AT25+AT26</f>
        <v>0</v>
      </c>
      <c r="AU27" s="9">
        <f>AU25+AU26</f>
        <v>2</v>
      </c>
      <c r="AW27" s="9">
        <f>AW25+AW26</f>
        <v>0</v>
      </c>
      <c r="AX27" s="9">
        <f>AX25+AX26</f>
        <v>2</v>
      </c>
      <c r="AZ27" s="9">
        <f>AZ25+AZ26</f>
        <v>0</v>
      </c>
      <c r="BA27" s="9">
        <f>BA25+BA26</f>
        <v>4</v>
      </c>
      <c r="BC27" s="9">
        <f>BC25+BC26</f>
        <v>0</v>
      </c>
      <c r="BD27" s="9">
        <f>BD25+BD26</f>
        <v>6</v>
      </c>
      <c r="BF27" s="9">
        <f>BF25+BF26</f>
        <v>0</v>
      </c>
      <c r="BG27" s="9">
        <f>BG25+BG26</f>
        <v>8</v>
      </c>
      <c r="BI27" s="9">
        <f>BI25+BI26</f>
        <v>0</v>
      </c>
      <c r="BJ27" s="9">
        <f>BJ25+BJ26</f>
        <v>10</v>
      </c>
      <c r="BL27" s="9">
        <f>BL25+BL26</f>
        <v>0</v>
      </c>
      <c r="BM27" s="9">
        <f>BM25+BM26</f>
        <v>6</v>
      </c>
      <c r="BO27" s="9">
        <f>BO25+BO26</f>
        <v>0</v>
      </c>
      <c r="BP27" s="9">
        <f>BP25+BP26</f>
        <v>2</v>
      </c>
      <c r="BR27" s="9">
        <f>BR25+BR26</f>
        <v>0</v>
      </c>
      <c r="BS27" s="9">
        <f>BS25+BS26</f>
        <v>2</v>
      </c>
      <c r="BU27" s="9">
        <f>BU25+BU26</f>
        <v>0</v>
      </c>
      <c r="BV27" s="9">
        <f>BV25+BV26</f>
        <v>1</v>
      </c>
      <c r="BX27" s="9">
        <f>BX25+BX26</f>
        <v>0</v>
      </c>
      <c r="BY27" s="9">
        <f>BY25+BY26</f>
        <v>1</v>
      </c>
      <c r="CA27" s="9">
        <f>CA25+CA26</f>
        <v>0</v>
      </c>
      <c r="CB27" s="9">
        <f>CB25+CB26</f>
        <v>3</v>
      </c>
      <c r="CD27" s="9">
        <f>CD25+CD26</f>
        <v>0</v>
      </c>
      <c r="CE27" s="9">
        <f>CE25+CE26</f>
        <v>3</v>
      </c>
      <c r="CG27" s="9">
        <f>CG25+CG26</f>
        <v>0</v>
      </c>
      <c r="CH27" s="9">
        <f>CH25+CH26</f>
        <v>1</v>
      </c>
      <c r="CJ27" s="9">
        <f>CJ25+CJ26</f>
        <v>0</v>
      </c>
      <c r="CK27" s="9">
        <f>CK25+CK26</f>
        <v>2</v>
      </c>
      <c r="CM27" s="9">
        <f>CM25+CM26</f>
        <v>0</v>
      </c>
      <c r="CN27" s="9">
        <f>CN25+CN26</f>
        <v>1</v>
      </c>
      <c r="CP27" s="9">
        <f>CP25+CP26</f>
        <v>0</v>
      </c>
      <c r="CQ27" s="9">
        <f>CQ25+CQ26</f>
        <v>0</v>
      </c>
      <c r="CS27" s="9">
        <f>CS25+CS26</f>
        <v>0</v>
      </c>
      <c r="CT27" s="9">
        <f>CT25+CT26</f>
        <v>0</v>
      </c>
      <c r="CV27" s="9">
        <f>CV25+CV26</f>
        <v>0</v>
      </c>
      <c r="CW27" s="9">
        <f>CW25+CW26</f>
        <v>0</v>
      </c>
      <c r="CY27" s="9">
        <f>CY25+CY26</f>
        <v>0</v>
      </c>
      <c r="CZ27" s="9">
        <f>CZ25+CZ26</f>
        <v>0</v>
      </c>
      <c r="DB27" s="28">
        <v>0</v>
      </c>
      <c r="DC27" s="28">
        <v>0</v>
      </c>
      <c r="DE27" s="28">
        <v>0</v>
      </c>
      <c r="DF27" s="28">
        <v>0</v>
      </c>
      <c r="DH27" s="9">
        <f>DH25+DH26</f>
        <v>0</v>
      </c>
      <c r="DI27" s="9">
        <f>DI25+DI26</f>
        <v>2</v>
      </c>
      <c r="DJ27" s="13"/>
    </row>
    <row r="28" spans="1:114" ht="12.75" customHeight="1" thickTop="1" x14ac:dyDescent="0.25">
      <c r="A28" s="12"/>
      <c r="DB28" s="21"/>
      <c r="DC28" s="21"/>
      <c r="DE28" s="21"/>
      <c r="DF28" s="21"/>
      <c r="DJ28" s="13"/>
    </row>
    <row r="29" spans="1:114" ht="12.75" customHeight="1" x14ac:dyDescent="0.25">
      <c r="A29" s="12"/>
      <c r="B29" s="17" t="s">
        <v>9</v>
      </c>
      <c r="C29" s="17"/>
      <c r="DB29" s="21"/>
      <c r="DC29" s="21"/>
      <c r="DE29" s="21"/>
      <c r="DF29" s="21"/>
      <c r="DJ29" s="13"/>
    </row>
    <row r="30" spans="1:114" ht="12.75" customHeight="1" x14ac:dyDescent="0.25">
      <c r="A30" s="12"/>
      <c r="B30" s="1" t="s">
        <v>3</v>
      </c>
      <c r="D30" s="1">
        <v>0</v>
      </c>
      <c r="E30" s="1">
        <v>42</v>
      </c>
      <c r="G30" s="1">
        <v>0</v>
      </c>
      <c r="H30" s="1">
        <v>37</v>
      </c>
      <c r="J30" s="1">
        <v>0</v>
      </c>
      <c r="K30" s="1">
        <v>41</v>
      </c>
      <c r="M30" s="1">
        <v>0</v>
      </c>
      <c r="N30" s="1">
        <v>45</v>
      </c>
      <c r="P30" s="1">
        <v>0</v>
      </c>
      <c r="Q30" s="1">
        <v>40</v>
      </c>
      <c r="S30" s="1">
        <v>0</v>
      </c>
      <c r="T30" s="1">
        <v>27</v>
      </c>
      <c r="V30" s="1">
        <v>0</v>
      </c>
      <c r="W30" s="1">
        <f>0+0+31</f>
        <v>31</v>
      </c>
      <c r="Y30" s="1">
        <v>0</v>
      </c>
      <c r="Z30" s="1">
        <f>0+0+30</f>
        <v>30</v>
      </c>
      <c r="AB30" s="1">
        <v>0</v>
      </c>
      <c r="AC30" s="1">
        <f>0+0+31</f>
        <v>31</v>
      </c>
      <c r="AE30" s="1">
        <v>0</v>
      </c>
      <c r="AF30" s="1">
        <f>0+0+30</f>
        <v>30</v>
      </c>
      <c r="AH30" s="1">
        <v>0</v>
      </c>
      <c r="AI30" s="1">
        <f>0+0+29</f>
        <v>29</v>
      </c>
      <c r="AK30" s="1">
        <v>0</v>
      </c>
      <c r="AL30" s="1">
        <f>0+0+31</f>
        <v>31</v>
      </c>
      <c r="AN30" s="1">
        <v>0</v>
      </c>
      <c r="AO30" s="1">
        <f>0+0+32</f>
        <v>32</v>
      </c>
      <c r="AQ30" s="1">
        <v>0</v>
      </c>
      <c r="AR30" s="1">
        <f>0+0+33</f>
        <v>33</v>
      </c>
      <c r="AT30" s="1">
        <v>0</v>
      </c>
      <c r="AU30" s="1">
        <v>34</v>
      </c>
      <c r="AW30" s="1">
        <v>0</v>
      </c>
      <c r="AX30" s="1">
        <f>0+0+31</f>
        <v>31</v>
      </c>
      <c r="AZ30" s="1">
        <v>0</v>
      </c>
      <c r="BA30" s="1">
        <f>0+0+38</f>
        <v>38</v>
      </c>
      <c r="BC30" s="1">
        <v>0</v>
      </c>
      <c r="BD30" s="1">
        <f>0+0+37</f>
        <v>37</v>
      </c>
      <c r="BF30" s="1">
        <v>0</v>
      </c>
      <c r="BG30" s="1">
        <v>36</v>
      </c>
      <c r="BI30" s="1">
        <v>2</v>
      </c>
      <c r="BJ30" s="1">
        <f>2+82</f>
        <v>84</v>
      </c>
      <c r="BL30" s="1">
        <v>2</v>
      </c>
      <c r="BM30" s="1">
        <f>2+60</f>
        <v>62</v>
      </c>
      <c r="BO30" s="1">
        <v>2</v>
      </c>
      <c r="BP30" s="1">
        <f>2+49</f>
        <v>51</v>
      </c>
      <c r="BR30" s="1">
        <v>2</v>
      </c>
      <c r="BS30" s="1">
        <f>2+41</f>
        <v>43</v>
      </c>
      <c r="BU30" s="1">
        <v>0</v>
      </c>
      <c r="BV30" s="1">
        <v>0</v>
      </c>
      <c r="BX30" s="1">
        <v>0</v>
      </c>
      <c r="BY30" s="1">
        <v>19</v>
      </c>
      <c r="CA30" s="1">
        <v>0</v>
      </c>
      <c r="CB30" s="1">
        <v>20</v>
      </c>
      <c r="CD30" s="1">
        <v>0</v>
      </c>
      <c r="CE30" s="1">
        <v>22</v>
      </c>
      <c r="CG30" s="1">
        <v>0</v>
      </c>
      <c r="CH30" s="1">
        <v>18</v>
      </c>
      <c r="CJ30" s="1">
        <v>0</v>
      </c>
      <c r="CK30" s="1">
        <v>7</v>
      </c>
      <c r="CM30" s="1">
        <v>0</v>
      </c>
      <c r="CN30" s="1">
        <v>2</v>
      </c>
      <c r="CP30" s="1">
        <v>0</v>
      </c>
      <c r="CQ30" s="1">
        <v>2</v>
      </c>
      <c r="CS30" s="1">
        <v>0</v>
      </c>
      <c r="CT30" s="1">
        <v>1</v>
      </c>
      <c r="CV30" s="1">
        <v>0</v>
      </c>
      <c r="CW30" s="1">
        <v>1</v>
      </c>
      <c r="CY30" s="1">
        <v>0</v>
      </c>
      <c r="CZ30" s="1">
        <v>0</v>
      </c>
      <c r="DB30" s="21">
        <v>0</v>
      </c>
      <c r="DC30" s="21">
        <v>0</v>
      </c>
      <c r="DE30" s="21">
        <v>0</v>
      </c>
      <c r="DF30" s="21">
        <v>0</v>
      </c>
      <c r="DH30" s="1">
        <v>0</v>
      </c>
      <c r="DI30" s="1">
        <v>0</v>
      </c>
      <c r="DJ30" s="13"/>
    </row>
    <row r="31" spans="1:114" ht="12.75" customHeight="1" x14ac:dyDescent="0.25">
      <c r="A31" s="12"/>
      <c r="B31" s="1" t="s">
        <v>4</v>
      </c>
      <c r="D31" s="1">
        <v>0</v>
      </c>
      <c r="E31" s="1">
        <v>26</v>
      </c>
      <c r="G31" s="1">
        <v>0</v>
      </c>
      <c r="H31" s="1">
        <v>24</v>
      </c>
      <c r="J31" s="1">
        <v>0</v>
      </c>
      <c r="K31" s="1">
        <v>24</v>
      </c>
      <c r="M31" s="1">
        <v>0</v>
      </c>
      <c r="N31" s="1">
        <v>31</v>
      </c>
      <c r="P31" s="1">
        <v>0</v>
      </c>
      <c r="Q31" s="1">
        <v>26</v>
      </c>
      <c r="S31" s="1">
        <v>0</v>
      </c>
      <c r="T31" s="1">
        <v>21</v>
      </c>
      <c r="V31" s="1">
        <v>0</v>
      </c>
      <c r="W31" s="1">
        <f>0+0+24</f>
        <v>24</v>
      </c>
      <c r="Y31" s="1">
        <v>0</v>
      </c>
      <c r="Z31" s="1">
        <f>0+0+22</f>
        <v>22</v>
      </c>
      <c r="AB31" s="1">
        <v>0</v>
      </c>
      <c r="AC31" s="1">
        <f>0+0+21</f>
        <v>21</v>
      </c>
      <c r="AE31" s="1">
        <v>0</v>
      </c>
      <c r="AF31" s="1">
        <f>0+0+19</f>
        <v>19</v>
      </c>
      <c r="AH31" s="1">
        <v>0</v>
      </c>
      <c r="AI31" s="1">
        <f>0+0+17</f>
        <v>17</v>
      </c>
      <c r="AK31" s="1">
        <v>0</v>
      </c>
      <c r="AL31" s="1">
        <f>0+0+18</f>
        <v>18</v>
      </c>
      <c r="AN31" s="1">
        <v>0</v>
      </c>
      <c r="AO31" s="1">
        <f>0+0+18</f>
        <v>18</v>
      </c>
      <c r="AQ31" s="1">
        <v>0</v>
      </c>
      <c r="AR31" s="1">
        <f>0+0+18</f>
        <v>18</v>
      </c>
      <c r="AT31" s="1">
        <v>0</v>
      </c>
      <c r="AU31" s="1">
        <v>19</v>
      </c>
      <c r="AW31" s="1">
        <v>0</v>
      </c>
      <c r="AX31" s="1">
        <f>0+0+17</f>
        <v>17</v>
      </c>
      <c r="AZ31" s="1">
        <v>0</v>
      </c>
      <c r="BA31" s="1">
        <f>0+0+11</f>
        <v>11</v>
      </c>
      <c r="BC31" s="1">
        <v>0</v>
      </c>
      <c r="BD31" s="1">
        <f>0+0+12</f>
        <v>12</v>
      </c>
      <c r="BF31" s="1">
        <v>0</v>
      </c>
      <c r="BG31" s="1">
        <v>14</v>
      </c>
      <c r="BI31" s="1">
        <v>1</v>
      </c>
      <c r="BJ31" s="1">
        <f>1+48</f>
        <v>49</v>
      </c>
      <c r="BL31" s="1">
        <v>1</v>
      </c>
      <c r="BM31" s="1">
        <f>1+1+34</f>
        <v>36</v>
      </c>
      <c r="BO31" s="1">
        <v>1</v>
      </c>
      <c r="BP31" s="1">
        <f>1+1+24</f>
        <v>26</v>
      </c>
      <c r="BR31" s="1">
        <v>1</v>
      </c>
      <c r="BS31" s="1">
        <f>1+23</f>
        <v>24</v>
      </c>
      <c r="BU31" s="1">
        <v>0</v>
      </c>
      <c r="BV31" s="1">
        <f>4+23</f>
        <v>27</v>
      </c>
      <c r="BX31" s="1">
        <v>0</v>
      </c>
      <c r="BY31" s="1">
        <v>2</v>
      </c>
      <c r="CA31" s="1">
        <v>0</v>
      </c>
      <c r="CB31" s="1">
        <v>3</v>
      </c>
      <c r="CD31" s="1">
        <v>0</v>
      </c>
      <c r="CE31" s="1">
        <v>7</v>
      </c>
      <c r="CG31" s="1">
        <v>0</v>
      </c>
      <c r="CH31" s="1">
        <v>6</v>
      </c>
      <c r="CJ31" s="1">
        <v>0</v>
      </c>
      <c r="CK31" s="1">
        <v>8</v>
      </c>
      <c r="CM31" s="1">
        <v>0</v>
      </c>
      <c r="CN31" s="1">
        <v>5</v>
      </c>
      <c r="CP31" s="1">
        <v>0</v>
      </c>
      <c r="CQ31" s="1">
        <v>3</v>
      </c>
      <c r="CS31" s="1">
        <v>0</v>
      </c>
      <c r="CT31" s="1">
        <v>1</v>
      </c>
      <c r="CV31" s="1">
        <v>0</v>
      </c>
      <c r="CW31" s="1">
        <v>1</v>
      </c>
      <c r="CY31" s="1">
        <v>0</v>
      </c>
      <c r="CZ31" s="1">
        <v>0</v>
      </c>
      <c r="DB31" s="21">
        <v>0</v>
      </c>
      <c r="DC31" s="21">
        <v>0</v>
      </c>
      <c r="DE31" s="21">
        <v>0</v>
      </c>
      <c r="DF31" s="21">
        <v>0</v>
      </c>
      <c r="DH31" s="1">
        <v>0</v>
      </c>
      <c r="DI31" s="1">
        <v>0</v>
      </c>
      <c r="DJ31" s="13"/>
    </row>
    <row r="32" spans="1:114" ht="12.75" customHeight="1" thickBot="1" x14ac:dyDescent="0.3">
      <c r="A32" s="12"/>
      <c r="B32" s="1" t="s">
        <v>5</v>
      </c>
      <c r="D32" s="9">
        <v>0</v>
      </c>
      <c r="E32" s="9">
        <v>68</v>
      </c>
      <c r="G32" s="9">
        <v>0</v>
      </c>
      <c r="H32" s="9">
        <v>61</v>
      </c>
      <c r="J32" s="9">
        <v>0</v>
      </c>
      <c r="K32" s="9">
        <v>65</v>
      </c>
      <c r="M32" s="9">
        <v>0</v>
      </c>
      <c r="N32" s="9">
        <v>76</v>
      </c>
      <c r="P32" s="9">
        <v>0</v>
      </c>
      <c r="Q32" s="9">
        <v>66</v>
      </c>
      <c r="S32" s="9">
        <v>0</v>
      </c>
      <c r="T32" s="9">
        <v>48</v>
      </c>
      <c r="V32" s="9">
        <f t="shared" ref="V32:AO32" si="4">V30+V31</f>
        <v>0</v>
      </c>
      <c r="W32" s="9">
        <f t="shared" si="4"/>
        <v>55</v>
      </c>
      <c r="Y32" s="9">
        <f t="shared" si="4"/>
        <v>0</v>
      </c>
      <c r="Z32" s="9">
        <f t="shared" si="4"/>
        <v>52</v>
      </c>
      <c r="AB32" s="9">
        <f t="shared" si="4"/>
        <v>0</v>
      </c>
      <c r="AC32" s="9">
        <f t="shared" si="4"/>
        <v>52</v>
      </c>
      <c r="AE32" s="9">
        <f t="shared" si="4"/>
        <v>0</v>
      </c>
      <c r="AF32" s="9">
        <f t="shared" si="4"/>
        <v>49</v>
      </c>
      <c r="AH32" s="9">
        <f t="shared" si="4"/>
        <v>0</v>
      </c>
      <c r="AI32" s="9">
        <f t="shared" si="4"/>
        <v>46</v>
      </c>
      <c r="AK32" s="9">
        <f>AK30+AK31</f>
        <v>0</v>
      </c>
      <c r="AL32" s="9">
        <f>AL30+AL31</f>
        <v>49</v>
      </c>
      <c r="AN32" s="9">
        <f t="shared" si="4"/>
        <v>0</v>
      </c>
      <c r="AO32" s="9">
        <f t="shared" si="4"/>
        <v>50</v>
      </c>
      <c r="AQ32" s="9">
        <f>AQ30+AQ31</f>
        <v>0</v>
      </c>
      <c r="AR32" s="9">
        <f>AR30+AR31</f>
        <v>51</v>
      </c>
      <c r="AT32" s="9">
        <f>AT30+AT31</f>
        <v>0</v>
      </c>
      <c r="AU32" s="9">
        <f>AU30+AU31</f>
        <v>53</v>
      </c>
      <c r="AW32" s="9">
        <f>AW30+AW31</f>
        <v>0</v>
      </c>
      <c r="AX32" s="9">
        <f>AX30+AX31</f>
        <v>48</v>
      </c>
      <c r="AZ32" s="9">
        <f>AZ30+AZ31</f>
        <v>0</v>
      </c>
      <c r="BA32" s="9">
        <f>BA30+BA31</f>
        <v>49</v>
      </c>
      <c r="BC32" s="9">
        <f>BC30+BC31</f>
        <v>0</v>
      </c>
      <c r="BD32" s="9">
        <f>BD30+BD31</f>
        <v>49</v>
      </c>
      <c r="BF32" s="9">
        <f>BF30+BF31</f>
        <v>0</v>
      </c>
      <c r="BG32" s="9">
        <f>BG30+BG31</f>
        <v>50</v>
      </c>
      <c r="BI32" s="9">
        <f>BI30+BI31</f>
        <v>3</v>
      </c>
      <c r="BJ32" s="9">
        <f>BJ30+BJ31</f>
        <v>133</v>
      </c>
      <c r="BL32" s="9">
        <f>BL30+BL31</f>
        <v>3</v>
      </c>
      <c r="BM32" s="9">
        <f>BM30+BM31</f>
        <v>98</v>
      </c>
      <c r="BO32" s="9">
        <f>BO30+BO31</f>
        <v>3</v>
      </c>
      <c r="BP32" s="9">
        <f>BP30+BP31</f>
        <v>77</v>
      </c>
      <c r="BR32" s="9">
        <f>BR30+BR31</f>
        <v>3</v>
      </c>
      <c r="BS32" s="9">
        <f>BS30+BS31</f>
        <v>67</v>
      </c>
      <c r="BU32" s="9">
        <f>BU30+BU31</f>
        <v>0</v>
      </c>
      <c r="BV32" s="9">
        <f>BV30+BV31</f>
        <v>27</v>
      </c>
      <c r="BX32" s="9">
        <f>BX30+BX31</f>
        <v>0</v>
      </c>
      <c r="BY32" s="9">
        <f>BY30+BY31</f>
        <v>21</v>
      </c>
      <c r="CA32" s="9">
        <f>CA30+CA31</f>
        <v>0</v>
      </c>
      <c r="CB32" s="9">
        <f>CB30+CB31</f>
        <v>23</v>
      </c>
      <c r="CD32" s="9">
        <f>CD30+CD31</f>
        <v>0</v>
      </c>
      <c r="CE32" s="9">
        <f>CE30+CE31</f>
        <v>29</v>
      </c>
      <c r="CG32" s="9">
        <f>CG30+CG31</f>
        <v>0</v>
      </c>
      <c r="CH32" s="9">
        <f>CH30+CH31</f>
        <v>24</v>
      </c>
      <c r="CJ32" s="9">
        <f>CJ30+CJ31</f>
        <v>0</v>
      </c>
      <c r="CK32" s="9">
        <f>CK30+CK31</f>
        <v>15</v>
      </c>
      <c r="CM32" s="9">
        <f>CM30+CM31</f>
        <v>0</v>
      </c>
      <c r="CN32" s="9">
        <f>CN30+CN31</f>
        <v>7</v>
      </c>
      <c r="CP32" s="9">
        <f>CP30+CP31</f>
        <v>0</v>
      </c>
      <c r="CQ32" s="9">
        <f>CQ30+CQ31</f>
        <v>5</v>
      </c>
      <c r="CS32" s="9">
        <f>CS30+CS31</f>
        <v>0</v>
      </c>
      <c r="CT32" s="9">
        <v>2</v>
      </c>
      <c r="CV32" s="9">
        <f>CV30+CV31</f>
        <v>0</v>
      </c>
      <c r="CW32" s="9">
        <v>2</v>
      </c>
      <c r="CY32" s="9">
        <f>CY30+CY31</f>
        <v>0</v>
      </c>
      <c r="CZ32" s="9">
        <v>0</v>
      </c>
      <c r="DB32" s="28">
        <v>0</v>
      </c>
      <c r="DC32" s="28">
        <v>0</v>
      </c>
      <c r="DE32" s="28">
        <v>0</v>
      </c>
      <c r="DF32" s="28">
        <v>0</v>
      </c>
      <c r="DH32" s="9">
        <f>DH30+DH31</f>
        <v>0</v>
      </c>
      <c r="DI32" s="9">
        <v>0</v>
      </c>
      <c r="DJ32" s="13"/>
    </row>
    <row r="33" spans="1:114" ht="12.75" customHeight="1" thickTop="1" x14ac:dyDescent="0.25">
      <c r="A33" s="12"/>
      <c r="DB33" s="21"/>
      <c r="DC33" s="21"/>
      <c r="DE33" s="21"/>
      <c r="DF33" s="21"/>
      <c r="DJ33" s="13"/>
    </row>
    <row r="34" spans="1:114" ht="12.75" customHeight="1" x14ac:dyDescent="0.25">
      <c r="A34" s="12"/>
      <c r="B34" s="17" t="s">
        <v>10</v>
      </c>
      <c r="C34" s="17"/>
      <c r="DB34" s="21"/>
      <c r="DC34" s="21"/>
      <c r="DE34" s="21"/>
      <c r="DF34" s="21"/>
      <c r="DJ34" s="13"/>
    </row>
    <row r="35" spans="1:114" ht="12.75" customHeight="1" x14ac:dyDescent="0.25">
      <c r="A35" s="12"/>
      <c r="B35" s="1" t="s">
        <v>3</v>
      </c>
      <c r="D35" s="1">
        <v>0</v>
      </c>
      <c r="E35" s="1">
        <v>25</v>
      </c>
      <c r="G35" s="1">
        <v>0</v>
      </c>
      <c r="H35" s="1">
        <v>23</v>
      </c>
      <c r="J35" s="1">
        <v>0</v>
      </c>
      <c r="K35" s="1">
        <v>30</v>
      </c>
      <c r="M35" s="1">
        <v>0</v>
      </c>
      <c r="N35" s="1">
        <v>35</v>
      </c>
      <c r="P35" s="1">
        <v>0</v>
      </c>
      <c r="Q35" s="1">
        <v>45</v>
      </c>
      <c r="S35" s="1">
        <v>0</v>
      </c>
      <c r="T35" s="1">
        <v>47</v>
      </c>
      <c r="V35" s="1">
        <v>1</v>
      </c>
      <c r="W35" s="1">
        <f>1+1+53</f>
        <v>55</v>
      </c>
      <c r="Y35" s="1">
        <v>0</v>
      </c>
      <c r="Z35" s="1">
        <f>0+0+45</f>
        <v>45</v>
      </c>
      <c r="AB35" s="1">
        <v>0</v>
      </c>
      <c r="AC35" s="1">
        <f>0+0+48</f>
        <v>48</v>
      </c>
      <c r="AE35" s="1">
        <v>0</v>
      </c>
      <c r="AF35" s="1">
        <f>0+0+54</f>
        <v>54</v>
      </c>
      <c r="AH35" s="1">
        <v>0</v>
      </c>
      <c r="AI35" s="1">
        <f>0+0+57</f>
        <v>57</v>
      </c>
      <c r="AK35" s="1">
        <v>0</v>
      </c>
      <c r="AL35" s="1">
        <f>0+0+51</f>
        <v>51</v>
      </c>
      <c r="AN35" s="1">
        <v>0</v>
      </c>
      <c r="AO35" s="1">
        <f>0+0+49</f>
        <v>49</v>
      </c>
      <c r="AQ35" s="1">
        <v>0</v>
      </c>
      <c r="AR35" s="1">
        <f>0+0+56</f>
        <v>56</v>
      </c>
      <c r="AT35" s="1">
        <v>0</v>
      </c>
      <c r="AU35" s="1">
        <v>60</v>
      </c>
      <c r="AW35" s="1">
        <v>0</v>
      </c>
      <c r="AX35" s="1">
        <f>0+0+63</f>
        <v>63</v>
      </c>
      <c r="AZ35" s="1">
        <v>0</v>
      </c>
      <c r="BA35" s="1">
        <f>0+0+61</f>
        <v>61</v>
      </c>
      <c r="BC35" s="1">
        <v>0</v>
      </c>
      <c r="BD35" s="1">
        <f>0+0+44</f>
        <v>44</v>
      </c>
      <c r="BF35" s="1">
        <v>1</v>
      </c>
      <c r="BG35" s="1">
        <f>1+47</f>
        <v>48</v>
      </c>
      <c r="BI35" s="1">
        <v>0</v>
      </c>
      <c r="BJ35" s="1">
        <v>15</v>
      </c>
      <c r="BL35" s="1">
        <v>0</v>
      </c>
      <c r="BM35" s="1">
        <v>9</v>
      </c>
      <c r="BO35" s="1">
        <v>0</v>
      </c>
      <c r="BP35" s="1">
        <v>13</v>
      </c>
      <c r="BR35" s="1">
        <v>0</v>
      </c>
      <c r="BS35" s="1">
        <v>12</v>
      </c>
      <c r="BU35" s="1">
        <v>2</v>
      </c>
      <c r="BV35" s="1">
        <v>2</v>
      </c>
      <c r="BX35" s="1">
        <v>2</v>
      </c>
      <c r="BY35" s="1">
        <f>2+24</f>
        <v>26</v>
      </c>
      <c r="CA35" s="1">
        <v>2</v>
      </c>
      <c r="CB35" s="1">
        <v>25</v>
      </c>
      <c r="CD35" s="1">
        <v>0</v>
      </c>
      <c r="CE35" s="1">
        <v>7</v>
      </c>
      <c r="CG35" s="1">
        <v>0</v>
      </c>
      <c r="CH35" s="1">
        <v>9</v>
      </c>
      <c r="CJ35" s="1">
        <v>0</v>
      </c>
      <c r="CK35" s="1">
        <v>6</v>
      </c>
      <c r="CM35" s="1">
        <v>0</v>
      </c>
      <c r="CN35" s="1">
        <v>8</v>
      </c>
      <c r="CP35" s="1">
        <v>0</v>
      </c>
      <c r="CQ35" s="1">
        <v>3</v>
      </c>
      <c r="CS35" s="1">
        <v>0</v>
      </c>
      <c r="CT35" s="1">
        <v>3</v>
      </c>
      <c r="CV35" s="1">
        <v>0</v>
      </c>
      <c r="CW35" s="1">
        <v>6</v>
      </c>
      <c r="CY35" s="1">
        <v>0</v>
      </c>
      <c r="CZ35" s="1">
        <v>0</v>
      </c>
      <c r="DB35" s="21">
        <v>0</v>
      </c>
      <c r="DC35" s="21">
        <v>0</v>
      </c>
      <c r="DE35" s="21">
        <v>0</v>
      </c>
      <c r="DF35" s="21">
        <v>0</v>
      </c>
      <c r="DH35" s="1">
        <v>0</v>
      </c>
      <c r="DI35" s="1">
        <v>0</v>
      </c>
      <c r="DJ35" s="13"/>
    </row>
    <row r="36" spans="1:114" ht="12.75" customHeight="1" x14ac:dyDescent="0.25">
      <c r="A36" s="12"/>
      <c r="B36" s="1" t="s">
        <v>4</v>
      </c>
      <c r="D36" s="1">
        <v>0</v>
      </c>
      <c r="E36" s="1">
        <v>17</v>
      </c>
      <c r="G36" s="1">
        <v>0</v>
      </c>
      <c r="H36" s="1">
        <v>21</v>
      </c>
      <c r="J36" s="1">
        <v>0</v>
      </c>
      <c r="K36" s="1">
        <v>18</v>
      </c>
      <c r="M36" s="1">
        <v>0</v>
      </c>
      <c r="N36" s="1">
        <v>29</v>
      </c>
      <c r="P36" s="1">
        <v>0</v>
      </c>
      <c r="Q36" s="1">
        <v>35</v>
      </c>
      <c r="S36" s="1">
        <v>0</v>
      </c>
      <c r="T36" s="1">
        <v>35</v>
      </c>
      <c r="V36" s="1">
        <v>2</v>
      </c>
      <c r="W36" s="1">
        <f>2+0+36</f>
        <v>38</v>
      </c>
      <c r="Y36" s="1">
        <v>0</v>
      </c>
      <c r="Z36" s="1">
        <f>0+0+30</f>
        <v>30</v>
      </c>
      <c r="AB36" s="1">
        <v>0</v>
      </c>
      <c r="AC36" s="1">
        <f>0+0+25</f>
        <v>25</v>
      </c>
      <c r="AE36" s="1">
        <v>0</v>
      </c>
      <c r="AF36" s="1">
        <f>0+0+29</f>
        <v>29</v>
      </c>
      <c r="AH36" s="1">
        <v>0</v>
      </c>
      <c r="AI36" s="1">
        <f>0+0+32</f>
        <v>32</v>
      </c>
      <c r="AK36" s="1">
        <v>0</v>
      </c>
      <c r="AL36" s="1">
        <f>0+0+35</f>
        <v>35</v>
      </c>
      <c r="AN36" s="1">
        <v>0</v>
      </c>
      <c r="AO36" s="1">
        <f>0+0+36</f>
        <v>36</v>
      </c>
      <c r="AQ36" s="1">
        <v>0</v>
      </c>
      <c r="AR36" s="1">
        <f>0+0+41</f>
        <v>41</v>
      </c>
      <c r="AT36" s="1">
        <v>0</v>
      </c>
      <c r="AU36" s="1">
        <v>35</v>
      </c>
      <c r="AW36" s="1">
        <v>0</v>
      </c>
      <c r="AX36" s="1">
        <f>0+0+41</f>
        <v>41</v>
      </c>
      <c r="AZ36" s="1">
        <v>0</v>
      </c>
      <c r="BA36" s="1">
        <f>0+0+43</f>
        <v>43</v>
      </c>
      <c r="BC36" s="1">
        <v>0</v>
      </c>
      <c r="BD36" s="1">
        <f>0+0+34</f>
        <v>34</v>
      </c>
      <c r="BF36" s="1">
        <v>0</v>
      </c>
      <c r="BG36" s="1">
        <v>43</v>
      </c>
      <c r="BI36" s="1">
        <v>0</v>
      </c>
      <c r="BJ36" s="1">
        <v>15</v>
      </c>
      <c r="BL36" s="1">
        <v>0</v>
      </c>
      <c r="BM36" s="1">
        <v>13</v>
      </c>
      <c r="BO36" s="1">
        <v>0</v>
      </c>
      <c r="BP36" s="1">
        <v>19</v>
      </c>
      <c r="BR36" s="1">
        <v>0</v>
      </c>
      <c r="BS36" s="1">
        <v>14</v>
      </c>
      <c r="BU36" s="1">
        <v>1</v>
      </c>
      <c r="BV36" s="1">
        <f>1+32+29</f>
        <v>62</v>
      </c>
      <c r="BX36" s="1">
        <v>1</v>
      </c>
      <c r="BY36" s="1">
        <f>1+28</f>
        <v>29</v>
      </c>
      <c r="CA36" s="1">
        <v>1</v>
      </c>
      <c r="CB36" s="1">
        <v>24</v>
      </c>
      <c r="CD36" s="1">
        <v>0</v>
      </c>
      <c r="CE36" s="1">
        <v>12</v>
      </c>
      <c r="CG36" s="1">
        <v>0</v>
      </c>
      <c r="CH36" s="1">
        <v>4</v>
      </c>
      <c r="CJ36" s="1">
        <v>0</v>
      </c>
      <c r="CK36" s="1">
        <v>4</v>
      </c>
      <c r="CM36" s="1">
        <v>0</v>
      </c>
      <c r="CN36" s="1">
        <v>4</v>
      </c>
      <c r="CP36" s="1">
        <v>0</v>
      </c>
      <c r="CQ36" s="1">
        <v>2</v>
      </c>
      <c r="CS36" s="1">
        <v>0</v>
      </c>
      <c r="CT36" s="1">
        <v>4</v>
      </c>
      <c r="CV36" s="1">
        <v>0</v>
      </c>
      <c r="CW36" s="1">
        <v>7</v>
      </c>
      <c r="CY36" s="1">
        <v>0</v>
      </c>
      <c r="CZ36" s="1">
        <v>0</v>
      </c>
      <c r="DB36" s="21">
        <v>0</v>
      </c>
      <c r="DC36" s="21">
        <v>0</v>
      </c>
      <c r="DE36" s="21">
        <v>0</v>
      </c>
      <c r="DF36" s="21">
        <v>0</v>
      </c>
      <c r="DH36" s="1">
        <v>0</v>
      </c>
      <c r="DI36" s="1">
        <v>0</v>
      </c>
      <c r="DJ36" s="13"/>
    </row>
    <row r="37" spans="1:114" ht="12.75" customHeight="1" thickBot="1" x14ac:dyDescent="0.3">
      <c r="A37" s="12"/>
      <c r="B37" s="1" t="s">
        <v>5</v>
      </c>
      <c r="D37" s="9">
        <v>0</v>
      </c>
      <c r="E37" s="9">
        <v>42</v>
      </c>
      <c r="G37" s="9">
        <v>0</v>
      </c>
      <c r="H37" s="9">
        <v>44</v>
      </c>
      <c r="J37" s="9">
        <v>0</v>
      </c>
      <c r="K37" s="9">
        <v>48</v>
      </c>
      <c r="M37" s="9">
        <v>0</v>
      </c>
      <c r="N37" s="9">
        <v>64</v>
      </c>
      <c r="P37" s="9">
        <v>0</v>
      </c>
      <c r="Q37" s="9">
        <v>80</v>
      </c>
      <c r="S37" s="9">
        <v>0</v>
      </c>
      <c r="T37" s="9">
        <v>82</v>
      </c>
      <c r="V37" s="9">
        <f t="shared" ref="V37:AO37" si="5">V35+V36</f>
        <v>3</v>
      </c>
      <c r="W37" s="9">
        <f t="shared" si="5"/>
        <v>93</v>
      </c>
      <c r="Y37" s="9">
        <f t="shared" si="5"/>
        <v>0</v>
      </c>
      <c r="Z37" s="9">
        <f t="shared" si="5"/>
        <v>75</v>
      </c>
      <c r="AB37" s="9">
        <f t="shared" si="5"/>
        <v>0</v>
      </c>
      <c r="AC37" s="9">
        <f t="shared" si="5"/>
        <v>73</v>
      </c>
      <c r="AE37" s="9">
        <f t="shared" si="5"/>
        <v>0</v>
      </c>
      <c r="AF37" s="9">
        <f t="shared" si="5"/>
        <v>83</v>
      </c>
      <c r="AH37" s="9">
        <f t="shared" si="5"/>
        <v>0</v>
      </c>
      <c r="AI37" s="9">
        <f t="shared" si="5"/>
        <v>89</v>
      </c>
      <c r="AK37" s="9">
        <f>AK35+AK36</f>
        <v>0</v>
      </c>
      <c r="AL37" s="9">
        <f>AL35+AL36</f>
        <v>86</v>
      </c>
      <c r="AN37" s="9">
        <f t="shared" si="5"/>
        <v>0</v>
      </c>
      <c r="AO37" s="9">
        <f t="shared" si="5"/>
        <v>85</v>
      </c>
      <c r="AQ37" s="9">
        <f>AQ35+AQ36</f>
        <v>0</v>
      </c>
      <c r="AR37" s="9">
        <f>AR35+AR36</f>
        <v>97</v>
      </c>
      <c r="AT37" s="9">
        <f>AT35+AT36</f>
        <v>0</v>
      </c>
      <c r="AU37" s="9">
        <f>AU35+AU36</f>
        <v>95</v>
      </c>
      <c r="AW37" s="9">
        <f>AW35+AW36</f>
        <v>0</v>
      </c>
      <c r="AX37" s="9">
        <f>AX35+AX36</f>
        <v>104</v>
      </c>
      <c r="AZ37" s="9">
        <f>AZ35+AZ36</f>
        <v>0</v>
      </c>
      <c r="BA37" s="9">
        <f>BA35+BA36</f>
        <v>104</v>
      </c>
      <c r="BC37" s="9">
        <f>BC35+BC36</f>
        <v>0</v>
      </c>
      <c r="BD37" s="9">
        <f>BD35+BD36</f>
        <v>78</v>
      </c>
      <c r="BF37" s="9">
        <f>BF35+BF36</f>
        <v>1</v>
      </c>
      <c r="BG37" s="9">
        <f>BG35+BG36</f>
        <v>91</v>
      </c>
      <c r="BI37" s="9">
        <f>BI35+BI36</f>
        <v>0</v>
      </c>
      <c r="BJ37" s="9">
        <f>BJ35+BJ36</f>
        <v>30</v>
      </c>
      <c r="BL37" s="9">
        <f>BL35+BL36</f>
        <v>0</v>
      </c>
      <c r="BM37" s="9">
        <f>BM35+BM36</f>
        <v>22</v>
      </c>
      <c r="BO37" s="9">
        <f>BO35+BO36</f>
        <v>0</v>
      </c>
      <c r="BP37" s="9">
        <f>BP35+BP36</f>
        <v>32</v>
      </c>
      <c r="BR37" s="9">
        <f>BR35+BR36</f>
        <v>0</v>
      </c>
      <c r="BS37" s="9">
        <f>BS35+BS36</f>
        <v>26</v>
      </c>
      <c r="BU37" s="9">
        <f>BU35+BU36</f>
        <v>3</v>
      </c>
      <c r="BV37" s="9">
        <f>BV35+BV36</f>
        <v>64</v>
      </c>
      <c r="BX37" s="9">
        <f>BX35+BX36</f>
        <v>3</v>
      </c>
      <c r="BY37" s="9">
        <f>BY35+BY36</f>
        <v>55</v>
      </c>
      <c r="CA37" s="9">
        <f>CA35+CA36</f>
        <v>3</v>
      </c>
      <c r="CB37" s="9">
        <f>CB35+CB36</f>
        <v>49</v>
      </c>
      <c r="CD37" s="9">
        <f>CD35+CD36</f>
        <v>0</v>
      </c>
      <c r="CE37" s="9">
        <f>CE35+CE36</f>
        <v>19</v>
      </c>
      <c r="CG37" s="9">
        <f>CG35+CG36</f>
        <v>0</v>
      </c>
      <c r="CH37" s="9">
        <f>CH35+CH36</f>
        <v>13</v>
      </c>
      <c r="CJ37" s="9">
        <f>CJ35+CJ36</f>
        <v>0</v>
      </c>
      <c r="CK37" s="9">
        <f>CK35+CK36</f>
        <v>10</v>
      </c>
      <c r="CM37" s="9">
        <f>CM35+CM36</f>
        <v>0</v>
      </c>
      <c r="CN37" s="9">
        <f>CN35+CN36</f>
        <v>12</v>
      </c>
      <c r="CP37" s="9">
        <f>CP35+CP36</f>
        <v>0</v>
      </c>
      <c r="CQ37" s="9">
        <f>CQ35+CQ36</f>
        <v>5</v>
      </c>
      <c r="CS37" s="9">
        <f>CS35+CS36</f>
        <v>0</v>
      </c>
      <c r="CT37" s="9">
        <v>7</v>
      </c>
      <c r="CV37" s="9">
        <f>CV35+CV36</f>
        <v>0</v>
      </c>
      <c r="CW37" s="9">
        <v>13</v>
      </c>
      <c r="CY37" s="9">
        <f>CY35+CY36</f>
        <v>0</v>
      </c>
      <c r="CZ37" s="9">
        <v>0</v>
      </c>
      <c r="DB37" s="28">
        <v>0</v>
      </c>
      <c r="DC37" s="28">
        <v>0</v>
      </c>
      <c r="DE37" s="28">
        <v>0</v>
      </c>
      <c r="DF37" s="28">
        <v>0</v>
      </c>
      <c r="DH37" s="9">
        <f>DH35+DH36</f>
        <v>0</v>
      </c>
      <c r="DI37" s="9">
        <v>0</v>
      </c>
      <c r="DJ37" s="13"/>
    </row>
    <row r="38" spans="1:114" ht="12.75" customHeight="1" thickTop="1" x14ac:dyDescent="0.25">
      <c r="A38" s="12"/>
      <c r="DB38" s="21"/>
      <c r="DC38" s="21"/>
      <c r="DE38" s="21"/>
      <c r="DF38" s="21"/>
      <c r="DJ38" s="13"/>
    </row>
    <row r="39" spans="1:114" ht="12.75" customHeight="1" x14ac:dyDescent="0.25">
      <c r="A39" s="12"/>
      <c r="B39" s="17" t="s">
        <v>5</v>
      </c>
      <c r="C39" s="17"/>
      <c r="DB39" s="21"/>
      <c r="DC39" s="21"/>
      <c r="DE39" s="21"/>
      <c r="DF39" s="21"/>
      <c r="DJ39" s="13"/>
    </row>
    <row r="40" spans="1:114" ht="12.75" customHeight="1" x14ac:dyDescent="0.25">
      <c r="A40" s="12"/>
      <c r="B40" s="1" t="s">
        <v>3</v>
      </c>
      <c r="D40" s="1">
        <v>43</v>
      </c>
      <c r="E40" s="1">
        <v>138</v>
      </c>
      <c r="G40" s="1">
        <v>42</v>
      </c>
      <c r="H40" s="1">
        <v>132</v>
      </c>
      <c r="J40" s="1">
        <v>45</v>
      </c>
      <c r="K40" s="1">
        <v>153</v>
      </c>
      <c r="M40" s="1">
        <v>41</v>
      </c>
      <c r="N40" s="1">
        <v>166</v>
      </c>
      <c r="P40" s="1">
        <v>43</v>
      </c>
      <c r="Q40" s="1">
        <v>181</v>
      </c>
      <c r="S40" s="1">
        <f t="shared" ref="S40:AO40" si="6">S10+S15+S20+S25+S30+S35</f>
        <v>43</v>
      </c>
      <c r="T40" s="1">
        <f t="shared" si="6"/>
        <v>174</v>
      </c>
      <c r="V40" s="1">
        <f t="shared" si="6"/>
        <v>46</v>
      </c>
      <c r="W40" s="1">
        <f t="shared" si="6"/>
        <v>185</v>
      </c>
      <c r="Y40" s="1">
        <f t="shared" si="6"/>
        <v>48</v>
      </c>
      <c r="Z40" s="1">
        <f t="shared" si="6"/>
        <v>218</v>
      </c>
      <c r="AB40" s="1">
        <f t="shared" si="6"/>
        <v>49</v>
      </c>
      <c r="AC40" s="1">
        <f t="shared" si="6"/>
        <v>216</v>
      </c>
      <c r="AE40" s="1">
        <f t="shared" si="6"/>
        <v>58</v>
      </c>
      <c r="AF40" s="1">
        <f t="shared" si="6"/>
        <v>228</v>
      </c>
      <c r="AH40" s="1">
        <f t="shared" si="6"/>
        <v>66</v>
      </c>
      <c r="AI40" s="1">
        <f t="shared" si="6"/>
        <v>231</v>
      </c>
      <c r="AK40" s="1">
        <f>AK10+AK15+AK20+AK25+AK30+AK35</f>
        <v>71</v>
      </c>
      <c r="AL40" s="1">
        <f>AL10+AL15+AL20+AL25+AL30+AL35</f>
        <v>213</v>
      </c>
      <c r="AN40" s="1">
        <f t="shared" si="6"/>
        <v>73</v>
      </c>
      <c r="AO40" s="1">
        <f t="shared" si="6"/>
        <v>216</v>
      </c>
      <c r="AQ40" s="1">
        <f>AQ10+AQ15+AQ20+AQ25+AQ30+AQ35</f>
        <v>66</v>
      </c>
      <c r="AR40" s="1">
        <f>AR10+AR15+AR20+AR25+AR30+AR35</f>
        <v>219</v>
      </c>
      <c r="AT40" s="1">
        <f>AT10+AT15+AT20+AT25+AT30+AT35</f>
        <v>63</v>
      </c>
      <c r="AU40" s="1">
        <f>AU10+AU15+AU20+AU25+AU30+AU35</f>
        <v>216</v>
      </c>
      <c r="AW40" s="1">
        <f>AW10+AW15+AW20+AW25+AW30+AW35</f>
        <v>62</v>
      </c>
      <c r="AX40" s="1">
        <f>AX10+AX15+AX20+AX25+AX30+AX35</f>
        <v>215</v>
      </c>
      <c r="AZ40" s="1">
        <f>AZ10+AZ15+AZ20+AZ25+AZ30+AZ35</f>
        <v>56</v>
      </c>
      <c r="BA40" s="1">
        <f>BA10+BA15+BA20+BA25+BA30+BA35</f>
        <v>233</v>
      </c>
      <c r="BC40" s="1">
        <f>BC10+BC15+BC20+BC25+BC30+BC35</f>
        <v>57</v>
      </c>
      <c r="BD40" s="1">
        <f>BD10+BD15+BD20+BD25+BD30+BD35</f>
        <v>226</v>
      </c>
      <c r="BF40" s="1">
        <f>BF10+BF15+BF20+BF25+BF30+BF35</f>
        <v>69</v>
      </c>
      <c r="BG40" s="1">
        <f>BG10+BG15+BG20+BG25+BG30+BG35</f>
        <v>238</v>
      </c>
      <c r="BI40" s="1">
        <f>BI10+BI15+BI20+BI25+BI30+BI35</f>
        <v>79</v>
      </c>
      <c r="BJ40" s="1">
        <f>BJ10+BJ15+BJ20+BJ25+BJ30+BJ35</f>
        <v>267</v>
      </c>
      <c r="BL40" s="1">
        <f>BL10+BL15+BL20+BL25+BL30+BL35</f>
        <v>82</v>
      </c>
      <c r="BM40" s="1">
        <f>BM10+BM15+BM20+BM25+BM30+BM35</f>
        <v>268</v>
      </c>
      <c r="BO40" s="1">
        <f>BO10+BO15+BO20+BO25+BO30+BO35</f>
        <v>80</v>
      </c>
      <c r="BP40" s="1">
        <f>BP10+BP15+BP20+BP25+BP30+BP35</f>
        <v>263</v>
      </c>
      <c r="BR40" s="1">
        <f>BR10+BR15+BR20+BR25+BR30+BR35</f>
        <v>79</v>
      </c>
      <c r="BS40" s="1">
        <f>BS10+BS15+BS20+BS25+BS30+BS35</f>
        <v>261</v>
      </c>
      <c r="BU40" s="1">
        <f>BU10+BU15+BU20+BU25+BU30+BU35</f>
        <v>87</v>
      </c>
      <c r="BV40" s="1">
        <f>BV10+BV15+BV20+BV25+BV30+BV35</f>
        <v>226</v>
      </c>
      <c r="BX40" s="1">
        <f>BX10+BX15+BX20+BX25+BX30+BX35</f>
        <v>91</v>
      </c>
      <c r="BY40" s="1">
        <f>BY10+BY15+BY20+BY25+BY30+BY35</f>
        <v>274</v>
      </c>
      <c r="CA40" s="1">
        <f>CA10+CA15+CA20+CA25+CA30+CA35</f>
        <v>94</v>
      </c>
      <c r="CB40" s="1">
        <f>CB10+CB15+CB20+CB25+CB30+CB35</f>
        <v>275</v>
      </c>
      <c r="CD40" s="1">
        <f>CD10+CD15+CD20+CD25+CD30+CD35</f>
        <v>100</v>
      </c>
      <c r="CE40" s="1">
        <f>CE10+CE15+CE20+CE25+CE30+CE35</f>
        <v>259</v>
      </c>
      <c r="CG40" s="1">
        <f>CG10+CG15+CG20+CG25+CG30+CG35</f>
        <v>94</v>
      </c>
      <c r="CH40" s="1">
        <f>CH10+CH15+CH20+CH25+CH30+CH35</f>
        <v>256</v>
      </c>
      <c r="CJ40" s="1">
        <f>CJ10+CJ15+CJ20+CJ25+CJ30+CJ35</f>
        <v>91</v>
      </c>
      <c r="CK40" s="1">
        <f>CK10+CK15+CK20+CK25+CK30+CK35</f>
        <v>238</v>
      </c>
      <c r="CM40" s="1">
        <f>CM10+CM15+CM20+CM25+CM30+CM35</f>
        <v>83</v>
      </c>
      <c r="CN40" s="1">
        <f>CN10+CN15+CN20+CN25+CN30+CN35</f>
        <v>236</v>
      </c>
      <c r="CP40" s="1">
        <f>CP10+CP15+CP20+CP25+CP30+CP35</f>
        <v>79</v>
      </c>
      <c r="CQ40" s="1">
        <f>CQ10+CQ15+CQ20+CQ25+CQ30+CQ35</f>
        <v>236</v>
      </c>
      <c r="CS40" s="1">
        <f>CS10+CS15+CS20+CS25+CS30+CS35</f>
        <v>72</v>
      </c>
      <c r="CT40" s="1">
        <f>CT10+CT15+CT20+CT25+CT30+CT35</f>
        <v>233</v>
      </c>
      <c r="CV40" s="1">
        <f>CV10+CV15+CV20+CV25+CV30+CV35</f>
        <v>69</v>
      </c>
      <c r="CW40" s="1">
        <f>CW10+CW15+CW20+CW25+CW30+CW35</f>
        <v>228</v>
      </c>
      <c r="CY40" s="1">
        <f>CY10+CY15+CY20+CY25+CY30+CY35</f>
        <v>72</v>
      </c>
      <c r="CZ40" s="1">
        <f>CZ10+CZ15+CZ20+CZ25+CZ30+CZ35</f>
        <v>222</v>
      </c>
      <c r="DB40" s="21">
        <f>SUM(DB10,DB15,DB20,DB25,DB30,DB35)</f>
        <v>66</v>
      </c>
      <c r="DC40" s="21">
        <f>SUM(DC10,DC15,DC20,DC25,DC30,DC35)</f>
        <v>210</v>
      </c>
      <c r="DE40" s="21">
        <f>SUM(DE10,DE15,DE20,DE25,DE30,DE35)</f>
        <v>70</v>
      </c>
      <c r="DF40" s="21">
        <f>SUM(DF10,DF15,DF20,DF25,DF30,DF35)</f>
        <v>205</v>
      </c>
      <c r="DH40" s="1">
        <f>DH10+DH15+DH20+DH25+DH30+DH35</f>
        <v>70</v>
      </c>
      <c r="DI40" s="1">
        <f>DI10+DI15+DI20+DI25+DI30+DI35</f>
        <v>207</v>
      </c>
      <c r="DJ40" s="13"/>
    </row>
    <row r="41" spans="1:114" ht="12.75" customHeight="1" x14ac:dyDescent="0.25">
      <c r="A41" s="12"/>
      <c r="B41" s="1" t="s">
        <v>4</v>
      </c>
      <c r="D41" s="1">
        <v>183</v>
      </c>
      <c r="E41" s="1">
        <v>290</v>
      </c>
      <c r="G41" s="1">
        <v>181</v>
      </c>
      <c r="H41" s="1">
        <v>288</v>
      </c>
      <c r="J41" s="1">
        <v>179</v>
      </c>
      <c r="K41" s="1">
        <v>287</v>
      </c>
      <c r="M41" s="1">
        <v>168</v>
      </c>
      <c r="N41" s="1">
        <v>299</v>
      </c>
      <c r="P41" s="1">
        <v>166</v>
      </c>
      <c r="Q41" s="1">
        <v>315</v>
      </c>
      <c r="S41" s="1">
        <f t="shared" ref="S41:AO41" si="7">S11+S16+S21+S26+S31+S36</f>
        <v>159</v>
      </c>
      <c r="T41" s="1">
        <f t="shared" si="7"/>
        <v>286</v>
      </c>
      <c r="V41" s="1">
        <f t="shared" si="7"/>
        <v>159</v>
      </c>
      <c r="W41" s="1">
        <f t="shared" si="7"/>
        <v>292</v>
      </c>
      <c r="Y41" s="1">
        <f t="shared" si="7"/>
        <v>166</v>
      </c>
      <c r="Z41" s="1">
        <f t="shared" si="7"/>
        <v>288</v>
      </c>
      <c r="AB41" s="1">
        <f t="shared" si="7"/>
        <v>167</v>
      </c>
      <c r="AC41" s="1">
        <f t="shared" si="7"/>
        <v>280</v>
      </c>
      <c r="AE41" s="1">
        <f t="shared" si="7"/>
        <v>176</v>
      </c>
      <c r="AF41" s="1">
        <f t="shared" si="7"/>
        <v>284</v>
      </c>
      <c r="AH41" s="1">
        <f t="shared" si="7"/>
        <v>176</v>
      </c>
      <c r="AI41" s="1">
        <f t="shared" si="7"/>
        <v>282</v>
      </c>
      <c r="AK41" s="1">
        <f>AK11+AK16+AK21+AK26+AK31+AK36</f>
        <v>178</v>
      </c>
      <c r="AL41" s="1">
        <f>AL11+AL16+AL21+AL26+AL31+AL36</f>
        <v>288</v>
      </c>
      <c r="AN41" s="1">
        <f t="shared" si="7"/>
        <v>180</v>
      </c>
      <c r="AO41" s="1">
        <f t="shared" si="7"/>
        <v>286</v>
      </c>
      <c r="AQ41" s="1">
        <f>AQ11+AQ16+AQ21+AQ26+AQ31+AQ36</f>
        <v>169</v>
      </c>
      <c r="AR41" s="1">
        <f>AR11+AR16+AR21+AR26+AR31+AR36</f>
        <v>286</v>
      </c>
      <c r="AT41" s="1">
        <f>AT11+AT16+AT21+AT26+AT31+AT36</f>
        <v>167</v>
      </c>
      <c r="AU41" s="1">
        <f>AU11+AU16+AU21+AU26+AU31+AU36</f>
        <v>280</v>
      </c>
      <c r="AW41" s="1">
        <f>AW11+AW16+AW21+AW26+AW31+AW36</f>
        <v>158</v>
      </c>
      <c r="AX41" s="1">
        <f>AX11+AX16+AX21+AX26+AX31+AX36</f>
        <v>280</v>
      </c>
      <c r="AZ41" s="1">
        <f>AZ11+AZ16+AZ21+AZ26+AZ31+AZ36</f>
        <v>142</v>
      </c>
      <c r="BA41" s="1">
        <f>BA11+BA16+BA21+BA26+BA31+BA36</f>
        <v>265</v>
      </c>
      <c r="BC41" s="1">
        <f>BC11+BC16+BC21+BC26+BC31+BC36</f>
        <v>139</v>
      </c>
      <c r="BD41" s="1">
        <f>BD11+BD16+BD21+BD26+BD31+BD36</f>
        <v>263</v>
      </c>
      <c r="BF41" s="1">
        <f>BF11+BF16+BF21+BF26+BF31+BF36</f>
        <v>148</v>
      </c>
      <c r="BG41" s="1">
        <f>BG11+BG16+BG21+BG26+BG31+BG36</f>
        <v>274</v>
      </c>
      <c r="BI41" s="1">
        <f>BI11+BI16+BI21+BI26+BI31+BI36</f>
        <v>156</v>
      </c>
      <c r="BJ41" s="1">
        <f>BJ11+BJ16+BJ21+BJ26+BJ31+BJ36</f>
        <v>289</v>
      </c>
      <c r="BL41" s="1">
        <f>BL11+BL16+BL21+BL26+BL31+BL36</f>
        <v>155</v>
      </c>
      <c r="BM41" s="1">
        <f>BM11+BM16+BM21+BM26+BM31+BM36</f>
        <v>298</v>
      </c>
      <c r="BO41" s="1">
        <f>BO11+BO16+BO21+BO26+BO31+BO36</f>
        <v>154</v>
      </c>
      <c r="BP41" s="1">
        <f>BP11+BP16+BP21+BP26+BP31+BP36</f>
        <v>295</v>
      </c>
      <c r="BR41" s="1">
        <f>BR11+BR16+BR21+BR26+BR31+BR36</f>
        <v>147</v>
      </c>
      <c r="BS41" s="1">
        <f>BS11+BS16+BS21+BS26+BS31+BS36</f>
        <v>278</v>
      </c>
      <c r="BU41" s="1">
        <f>BU11+BU16+BU21+BU26+BU31+BU36</f>
        <v>149</v>
      </c>
      <c r="BV41" s="1">
        <f>BV11+BV16+BV21+BV26+BV31+BV36</f>
        <v>326</v>
      </c>
      <c r="BX41" s="1">
        <f>BX11+BX16+BX21+BX26+BX31+BX36</f>
        <v>145</v>
      </c>
      <c r="BY41" s="1">
        <f>BY11+BY16+BY21+BY26+BY31+BY36</f>
        <v>259</v>
      </c>
      <c r="CA41" s="1">
        <f>CA11+CA16+CA21+CA26+CA31+CA36</f>
        <v>138</v>
      </c>
      <c r="CB41" s="1">
        <f>CB11+CB16+CB21+CB26+CB31+CB36</f>
        <v>256</v>
      </c>
      <c r="CD41" s="1">
        <f>CD11+CD16+CD21+CD26+CD31+CD36</f>
        <v>141</v>
      </c>
      <c r="CE41" s="1">
        <f>CE11+CE16+CE21+CE26+CE31+CE36</f>
        <v>245</v>
      </c>
      <c r="CG41" s="1">
        <f>CG11+CG16+CG21+CG26+CG31+CG36</f>
        <v>134</v>
      </c>
      <c r="CH41" s="1">
        <f>CH11+CH16+CH21+CH26+CH31+CH36</f>
        <v>233</v>
      </c>
      <c r="CJ41" s="1">
        <f>CJ11+CJ16+CJ21+CJ26+CJ31+CJ36</f>
        <v>131</v>
      </c>
      <c r="CK41" s="1">
        <f>CK11+CK16+CK21+CK26+CK31+CK36</f>
        <v>233</v>
      </c>
      <c r="CM41" s="1">
        <f>CM11+CM16+CM21+CM26+CM31+CM36</f>
        <v>118</v>
      </c>
      <c r="CN41" s="1">
        <f>CN11+CN16+CN21+CN26+CN31+CN36</f>
        <v>215</v>
      </c>
      <c r="CP41" s="1">
        <f>CP11+CP16+CP21+CP26+CP31+CP36</f>
        <v>114</v>
      </c>
      <c r="CQ41" s="1">
        <f>CQ11+CQ16+CQ21+CQ26+CQ31+CQ36</f>
        <v>207</v>
      </c>
      <c r="CS41" s="1">
        <f>CS11+CS16+CS21+CS26+CS31+CS36</f>
        <v>106</v>
      </c>
      <c r="CT41" s="1">
        <f>CT11+CT16+CT21+CT26+CT31+CT36</f>
        <v>193</v>
      </c>
      <c r="CV41" s="1">
        <f>CV11+CV16+CV21+CV26+CV31+CV36</f>
        <v>92</v>
      </c>
      <c r="CW41" s="1">
        <f>CW11+CW16+CW21+CW26+CW31+CW36</f>
        <v>183</v>
      </c>
      <c r="CY41" s="1">
        <f>CY11+CY16+CY21+CY26+CY31+CY36</f>
        <v>93</v>
      </c>
      <c r="CZ41" s="1">
        <f>CZ11+CZ16+CZ21+CZ26+CZ31+CZ36</f>
        <v>173</v>
      </c>
      <c r="DB41" s="21">
        <f>SUM(DB11,DB16,DB21,DB26,DB31,DB36)</f>
        <v>92</v>
      </c>
      <c r="DC41" s="21">
        <f>SUM(DC11,DC16,DC21,DC26,DC31,DC36)</f>
        <v>166</v>
      </c>
      <c r="DE41" s="21">
        <f>SUM(DE11,DE16,DE21,DE26,DE31,DE36)</f>
        <v>92</v>
      </c>
      <c r="DF41" s="21">
        <f>SUM(DF11,DF16,DF21,DF26,DF31,DF36)</f>
        <v>163</v>
      </c>
      <c r="DH41" s="1">
        <f>DH11+DH16+DH21+DH26+DH31+DH36</f>
        <v>94</v>
      </c>
      <c r="DI41" s="1">
        <f>DI11+DI16+DI21+DI26+DI31+DI36</f>
        <v>164</v>
      </c>
      <c r="DJ41" s="13"/>
    </row>
    <row r="42" spans="1:114" ht="12.75" customHeight="1" thickBot="1" x14ac:dyDescent="0.3">
      <c r="A42" s="12"/>
      <c r="B42" s="1" t="s">
        <v>5</v>
      </c>
      <c r="D42" s="9">
        <v>226</v>
      </c>
      <c r="E42" s="9">
        <v>428</v>
      </c>
      <c r="G42" s="9">
        <v>223</v>
      </c>
      <c r="H42" s="9">
        <v>420</v>
      </c>
      <c r="J42" s="9">
        <v>224</v>
      </c>
      <c r="K42" s="9">
        <v>440</v>
      </c>
      <c r="M42" s="9">
        <v>209</v>
      </c>
      <c r="N42" s="9">
        <v>465</v>
      </c>
      <c r="P42" s="9">
        <v>209</v>
      </c>
      <c r="Q42" s="9">
        <v>496</v>
      </c>
      <c r="S42" s="9">
        <f t="shared" ref="S42:AO42" si="8">S40+S41</f>
        <v>202</v>
      </c>
      <c r="T42" s="9">
        <f t="shared" si="8"/>
        <v>460</v>
      </c>
      <c r="V42" s="9">
        <f t="shared" si="8"/>
        <v>205</v>
      </c>
      <c r="W42" s="9">
        <f t="shared" si="8"/>
        <v>477</v>
      </c>
      <c r="Y42" s="9">
        <f t="shared" si="8"/>
        <v>214</v>
      </c>
      <c r="Z42" s="9">
        <f t="shared" si="8"/>
        <v>506</v>
      </c>
      <c r="AB42" s="9">
        <f t="shared" si="8"/>
        <v>216</v>
      </c>
      <c r="AC42" s="9">
        <f t="shared" si="8"/>
        <v>496</v>
      </c>
      <c r="AE42" s="9">
        <f t="shared" si="8"/>
        <v>234</v>
      </c>
      <c r="AF42" s="9">
        <f t="shared" si="8"/>
        <v>512</v>
      </c>
      <c r="AH42" s="9">
        <f t="shared" si="8"/>
        <v>242</v>
      </c>
      <c r="AI42" s="9">
        <f t="shared" si="8"/>
        <v>513</v>
      </c>
      <c r="AK42" s="9">
        <f>AK40+AK41</f>
        <v>249</v>
      </c>
      <c r="AL42" s="9">
        <f>AL40+AL41</f>
        <v>501</v>
      </c>
      <c r="AN42" s="9">
        <f t="shared" si="8"/>
        <v>253</v>
      </c>
      <c r="AO42" s="9">
        <f t="shared" si="8"/>
        <v>502</v>
      </c>
      <c r="AQ42" s="9">
        <f>AQ40+AQ41</f>
        <v>235</v>
      </c>
      <c r="AR42" s="9">
        <f>AR40+AR41</f>
        <v>505</v>
      </c>
      <c r="AT42" s="9">
        <f>AT40+AT41</f>
        <v>230</v>
      </c>
      <c r="AU42" s="9">
        <f>AU40+AU41</f>
        <v>496</v>
      </c>
      <c r="AW42" s="9">
        <f>AW40+AW41</f>
        <v>220</v>
      </c>
      <c r="AX42" s="9">
        <f>AX40+AX41</f>
        <v>495</v>
      </c>
      <c r="AZ42" s="9">
        <f>AZ40+AZ41</f>
        <v>198</v>
      </c>
      <c r="BA42" s="9">
        <f>BA40+BA41</f>
        <v>498</v>
      </c>
      <c r="BC42" s="9">
        <f>BC40+BC41</f>
        <v>196</v>
      </c>
      <c r="BD42" s="9">
        <f>BD40+BD41</f>
        <v>489</v>
      </c>
      <c r="BF42" s="9">
        <f>BF40+BF41</f>
        <v>217</v>
      </c>
      <c r="BG42" s="9">
        <f>BG40+BG41</f>
        <v>512</v>
      </c>
      <c r="BI42" s="9">
        <f>BI40+BI41</f>
        <v>235</v>
      </c>
      <c r="BJ42" s="9">
        <f>BJ40+BJ41</f>
        <v>556</v>
      </c>
      <c r="BL42" s="9">
        <f>BL40+BL41</f>
        <v>237</v>
      </c>
      <c r="BM42" s="9">
        <f>BM40+BM41</f>
        <v>566</v>
      </c>
      <c r="BO42" s="9">
        <f>BO40+BO41</f>
        <v>234</v>
      </c>
      <c r="BP42" s="9">
        <f>BP40+BP41</f>
        <v>558</v>
      </c>
      <c r="BR42" s="9">
        <f>BR40+BR41</f>
        <v>226</v>
      </c>
      <c r="BS42" s="9">
        <f>BS40+BS41</f>
        <v>539</v>
      </c>
      <c r="BU42" s="9">
        <f>BU40+BU41</f>
        <v>236</v>
      </c>
      <c r="BV42" s="9">
        <f>BV40+BV41</f>
        <v>552</v>
      </c>
      <c r="BX42" s="9">
        <f>BX40+BX41</f>
        <v>236</v>
      </c>
      <c r="BY42" s="9">
        <f>BY40+BY41</f>
        <v>533</v>
      </c>
      <c r="CA42" s="9">
        <f>CA40+CA41</f>
        <v>232</v>
      </c>
      <c r="CB42" s="9">
        <f>CB40+CB41</f>
        <v>531</v>
      </c>
      <c r="CD42" s="9">
        <f>CD40+CD41</f>
        <v>241</v>
      </c>
      <c r="CE42" s="9">
        <f>CE40+CE41</f>
        <v>504</v>
      </c>
      <c r="CG42" s="9">
        <f>CG40+CG41</f>
        <v>228</v>
      </c>
      <c r="CH42" s="9">
        <f>CH40+CH41</f>
        <v>489</v>
      </c>
      <c r="CJ42" s="9">
        <f>CJ40+CJ41</f>
        <v>222</v>
      </c>
      <c r="CK42" s="9">
        <f>CK40+CK41</f>
        <v>471</v>
      </c>
      <c r="CM42" s="9">
        <f>CM40+CM41</f>
        <v>201</v>
      </c>
      <c r="CN42" s="9">
        <f>CN40+CN41</f>
        <v>451</v>
      </c>
      <c r="CP42" s="9">
        <f>CP40+CP41</f>
        <v>193</v>
      </c>
      <c r="CQ42" s="9">
        <f>CQ40+CQ41</f>
        <v>443</v>
      </c>
      <c r="CS42" s="9">
        <f>CS40+CS41</f>
        <v>178</v>
      </c>
      <c r="CT42" s="9">
        <f>CT40+CT41</f>
        <v>426</v>
      </c>
      <c r="CV42" s="9">
        <f>CV40+CV41</f>
        <v>161</v>
      </c>
      <c r="CW42" s="9">
        <f>CW40+CW41</f>
        <v>411</v>
      </c>
      <c r="CY42" s="9">
        <f>CY40+CY41</f>
        <v>165</v>
      </c>
      <c r="CZ42" s="9">
        <f>CZ40+CZ41</f>
        <v>395</v>
      </c>
      <c r="DB42" s="28">
        <f>SUM(DB40,DB41)</f>
        <v>158</v>
      </c>
      <c r="DC42" s="28">
        <f>SUM(DC40,DC41)</f>
        <v>376</v>
      </c>
      <c r="DE42" s="28">
        <f>SUM(DE40,DE41)</f>
        <v>162</v>
      </c>
      <c r="DF42" s="28">
        <f>SUM(DF40,DF41)</f>
        <v>368</v>
      </c>
      <c r="DH42" s="9">
        <f>DH40+DH41</f>
        <v>164</v>
      </c>
      <c r="DI42" s="9">
        <f>DI40+DI41</f>
        <v>371</v>
      </c>
      <c r="DJ42" s="13"/>
    </row>
    <row r="43" spans="1:114" ht="12.75" customHeight="1" thickTop="1" x14ac:dyDescent="0.25">
      <c r="A43" s="12"/>
      <c r="DJ43" s="13"/>
    </row>
    <row r="44" spans="1:114" ht="12.75" customHeight="1" x14ac:dyDescent="0.25">
      <c r="A44" s="12"/>
      <c r="DJ44" s="13"/>
    </row>
    <row r="45" spans="1:114" ht="12.75" customHeight="1" x14ac:dyDescent="0.25">
      <c r="A45" s="12"/>
      <c r="B45" s="21" t="s">
        <v>47</v>
      </c>
      <c r="C45" s="21"/>
      <c r="DJ45" s="13"/>
    </row>
    <row r="46" spans="1:114" ht="12.75" customHeight="1" x14ac:dyDescent="0.25">
      <c r="A46" s="18"/>
      <c r="B46" s="19"/>
      <c r="C46" s="19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0"/>
    </row>
  </sheetData>
  <mergeCells count="37">
    <mergeCell ref="CY7:CZ7"/>
    <mergeCell ref="DB7:DC7"/>
    <mergeCell ref="DE7:DF7"/>
    <mergeCell ref="CV7:CW7"/>
    <mergeCell ref="CP7:CQ7"/>
    <mergeCell ref="CM7:CN7"/>
    <mergeCell ref="CG7:CH7"/>
    <mergeCell ref="BI7:BJ7"/>
    <mergeCell ref="BL7:BM7"/>
    <mergeCell ref="CJ7:CK7"/>
    <mergeCell ref="CS7:CT7"/>
    <mergeCell ref="BO7:BP7"/>
    <mergeCell ref="CD7:CE7"/>
    <mergeCell ref="D7:E7"/>
    <mergeCell ref="G7:H7"/>
    <mergeCell ref="J7:K7"/>
    <mergeCell ref="M7:N7"/>
    <mergeCell ref="AW7:AX7"/>
    <mergeCell ref="AN7:AO7"/>
    <mergeCell ref="P7:Q7"/>
    <mergeCell ref="S7:T7"/>
    <mergeCell ref="DH7:DI7"/>
    <mergeCell ref="V7:W7"/>
    <mergeCell ref="Y7:Z7"/>
    <mergeCell ref="AZ7:BA7"/>
    <mergeCell ref="BX7:BY7"/>
    <mergeCell ref="AK7:AL7"/>
    <mergeCell ref="AT7:AU7"/>
    <mergeCell ref="AQ7:AR7"/>
    <mergeCell ref="BF7:BG7"/>
    <mergeCell ref="AE7:AF7"/>
    <mergeCell ref="AH7:AI7"/>
    <mergeCell ref="CA7:CB7"/>
    <mergeCell ref="BU7:BV7"/>
    <mergeCell ref="BR7:BS7"/>
    <mergeCell ref="BC7:BD7"/>
    <mergeCell ref="AB7:AC7"/>
  </mergeCells>
  <phoneticPr fontId="0" type="noConversion"/>
  <printOptions horizontalCentered="1"/>
  <pageMargins left="0.25" right="0.26" top="0.5" bottom="0.5" header="0" footer="0.22"/>
  <pageSetup scale="75" orientation="landscape" r:id="rId1"/>
  <headerFooter scaleWithDoc="0">
    <oddFooter>&amp;L&amp;"Times New Roman,Regular"&amp;8UMSL Fact Book&amp;C&amp;"Times New Roman,Regular"&amp;8&amp;A&amp;R&amp;"Times New Roman,Regular"&amp;8Last Updated Fall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ft_faculty_rank_gender_tenure</vt:lpstr>
      <vt:lpstr>ft_faculty_rank_gender_tenure!Print_Area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Dasari, Anantha Sai Kumar</cp:lastModifiedBy>
  <cp:lastPrinted>2023-12-18T12:10:12Z</cp:lastPrinted>
  <dcterms:created xsi:type="dcterms:W3CDTF">1999-04-07T21:10:05Z</dcterms:created>
  <dcterms:modified xsi:type="dcterms:W3CDTF">2023-12-18T12:44:43Z</dcterms:modified>
</cp:coreProperties>
</file>